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OCCI_OG\Documents\Olivier\C+FOR\Valloire Habitat\"/>
    </mc:Choice>
  </mc:AlternateContent>
  <bookViews>
    <workbookView xWindow="0" yWindow="0" windowWidth="28800" windowHeight="11835" tabRatio="866" activeTab="5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75" i="1" l="1"/>
  <c r="D75" i="1" s="1"/>
  <c r="D64" i="1"/>
  <c r="B64" i="1"/>
  <c r="D54" i="1"/>
  <c r="B55" i="1"/>
  <c r="D55" i="1" s="1"/>
  <c r="B54" i="1"/>
  <c r="D53" i="1"/>
  <c r="B53" i="1"/>
  <c r="B52" i="1"/>
  <c r="D51" i="1"/>
  <c r="B51" i="1"/>
  <c r="B50" i="1"/>
  <c r="D49" i="1"/>
  <c r="B49" i="1"/>
  <c r="B48" i="1"/>
  <c r="D47" i="1"/>
  <c r="B47" i="1"/>
  <c r="B46" i="1"/>
  <c r="D45" i="1"/>
  <c r="B45" i="1"/>
  <c r="B44" i="1"/>
  <c r="D43" i="1"/>
  <c r="B43" i="1"/>
  <c r="B42" i="1"/>
  <c r="D41" i="1"/>
  <c r="B41" i="1"/>
  <c r="B40" i="1"/>
  <c r="D39" i="1"/>
  <c r="B39" i="1"/>
  <c r="B38" i="1"/>
  <c r="D37" i="1"/>
  <c r="B37" i="1"/>
  <c r="B36" i="1"/>
  <c r="D194" i="1" l="1"/>
  <c r="B194" i="1"/>
  <c r="B193" i="1"/>
  <c r="D179" i="1"/>
  <c r="B179" i="1"/>
  <c r="B178" i="1"/>
  <c r="D177" i="1"/>
  <c r="B177" i="1"/>
  <c r="B176" i="1"/>
  <c r="D175" i="1"/>
  <c r="B175" i="1"/>
  <c r="B174" i="1"/>
  <c r="D173" i="1"/>
  <c r="B173" i="1"/>
  <c r="B172" i="1"/>
  <c r="D171" i="1"/>
  <c r="B171" i="1"/>
  <c r="B170" i="1"/>
  <c r="D169" i="1"/>
  <c r="B169" i="1"/>
  <c r="B168" i="1"/>
  <c r="D167" i="1"/>
  <c r="B167" i="1"/>
  <c r="B166" i="1"/>
  <c r="D153" i="1"/>
  <c r="B153" i="1"/>
  <c r="B152" i="1"/>
  <c r="D151" i="1"/>
  <c r="B151" i="1"/>
  <c r="B150" i="1"/>
  <c r="D149" i="1"/>
  <c r="B149" i="1"/>
  <c r="B148" i="1"/>
  <c r="D147" i="1"/>
  <c r="B147" i="1"/>
  <c r="B146" i="1"/>
  <c r="D145" i="1"/>
  <c r="B145" i="1"/>
  <c r="B144" i="1"/>
  <c r="D143" i="1"/>
  <c r="B143" i="1"/>
  <c r="B142" i="1"/>
  <c r="D141" i="1"/>
  <c r="B141" i="1"/>
  <c r="B140" i="1"/>
  <c r="D127" i="1"/>
  <c r="B127" i="1"/>
  <c r="B126" i="1"/>
  <c r="D125" i="1"/>
  <c r="B125" i="1"/>
  <c r="B124" i="1"/>
  <c r="D123" i="1"/>
  <c r="B123" i="1"/>
  <c r="B122" i="1"/>
  <c r="D121" i="1"/>
  <c r="B121" i="1"/>
  <c r="B120" i="1"/>
  <c r="D119" i="1"/>
  <c r="B119" i="1"/>
  <c r="B118" i="1"/>
  <c r="D117" i="1"/>
  <c r="B117" i="1"/>
  <c r="B116" i="1"/>
  <c r="D115" i="1"/>
  <c r="B115" i="1"/>
  <c r="B114" i="1"/>
  <c r="D101" i="1"/>
  <c r="B101" i="1"/>
  <c r="B100" i="1"/>
  <c r="D99" i="1"/>
  <c r="B99" i="1"/>
  <c r="B98" i="1"/>
  <c r="D97" i="1"/>
  <c r="B97" i="1"/>
  <c r="B96" i="1"/>
  <c r="D95" i="1"/>
  <c r="B95" i="1"/>
  <c r="B94" i="1"/>
  <c r="D93" i="1"/>
  <c r="B93" i="1"/>
  <c r="B92" i="1"/>
  <c r="D91" i="1"/>
  <c r="B91" i="1"/>
  <c r="B90" i="1"/>
  <c r="D89" i="1"/>
  <c r="B89" i="1"/>
  <c r="B88" i="1"/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EA4" i="2" s="1"/>
  <c r="GI4" i="2"/>
  <c r="GL4" i="2" s="1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FR4" i="2" l="1"/>
  <c r="FQ4" i="2"/>
  <c r="B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EA5" i="2" s="1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FR5" i="2" l="1"/>
  <c r="EC5" i="2"/>
  <c r="EX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HH6" i="2" s="1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FR6" i="2" l="1"/>
  <c r="EA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EA7" i="2" s="1"/>
  <c r="CH7" i="2"/>
  <c r="AS7" i="2"/>
  <c r="W7" i="2"/>
  <c r="CI7" i="2"/>
  <c r="AR7" i="2"/>
  <c r="X7" i="2"/>
  <c r="HB7" i="2"/>
  <c r="HC7" i="2"/>
  <c r="HI7" i="2" s="1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X7" i="2" l="1"/>
  <c r="EW7" i="2"/>
  <c r="EV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HG9" i="2" s="1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FS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HH10" i="2" s="1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FS10" i="2" l="1"/>
  <c r="EA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HH12" i="2" s="1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W12" i="2" l="1"/>
  <c r="EV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HG13" i="2" s="1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EC13" i="2" l="1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G14" i="2" s="1"/>
  <c r="HE14" i="2"/>
  <c r="HH14" i="2" s="1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C14" i="2" s="1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EX14" i="2" l="1"/>
  <c r="EB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FS15" i="2" l="1"/>
  <c r="EV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HH16" i="2" s="1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EA16" i="2" l="1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G18" i="2" s="1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FS18" i="2" l="1"/>
  <c r="EV18" i="2"/>
  <c r="EX18" i="2"/>
  <c r="EW18" i="2"/>
  <c r="EA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HG20" i="2" s="1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HH20" i="2" s="1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EC20" i="2" s="1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FS20" i="2" l="1"/>
  <c r="EV20" i="2"/>
  <c r="EW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HH21" i="2" s="1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V21" i="2" l="1"/>
  <c r="EW21" i="2"/>
  <c r="EB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G22" i="2" s="1"/>
  <c r="HE22" i="2"/>
  <c r="HH22" i="2" s="1"/>
  <c r="GI22" i="2"/>
  <c r="GJ22" i="2"/>
  <c r="ET22" i="2"/>
  <c r="FO22" i="2"/>
  <c r="FN22" i="2"/>
  <c r="DY22" i="2"/>
  <c r="EB22" i="2" s="1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W22" i="2" l="1"/>
  <c r="EC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HG24" i="2" s="1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H24" i="2" s="1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FR24" i="2" l="1"/>
  <c r="EW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HI25" i="2" s="1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EC25" i="2" l="1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HH26" i="2" s="1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EC26" i="2" l="1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FS27" i="2" l="1"/>
  <c r="EX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G28" i="2" s="1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HI28" i="2" s="1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FS28" i="2" l="1"/>
  <c r="EC28" i="2"/>
  <c r="EV28" i="2"/>
  <c r="EB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X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G31" i="2" s="1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HH33" i="2" s="1"/>
  <c r="GJ33" i="2"/>
  <c r="HD33" i="2"/>
  <c r="HG33" i="2" s="1"/>
  <c r="FO33" i="2"/>
  <c r="FN33" i="2"/>
  <c r="GI33" i="2"/>
  <c r="DY33" i="2"/>
  <c r="EB33" i="2" s="1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A33" i="2" l="1"/>
  <c r="EW33" i="2"/>
  <c r="EV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HH35" i="2" s="1"/>
  <c r="GI35" i="2"/>
  <c r="FO35" i="2"/>
  <c r="ES35" i="2"/>
  <c r="ET35" i="2"/>
  <c r="DX35" i="2"/>
  <c r="EA35" i="2" s="1"/>
  <c r="DC35" i="2"/>
  <c r="DD35" i="2"/>
  <c r="BN35" i="2"/>
  <c r="CI35" i="2"/>
  <c r="BM35" i="2"/>
  <c r="W35" i="2"/>
  <c r="FN35" i="2"/>
  <c r="DY35" i="2"/>
  <c r="EB35" i="2" s="1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FQ35" i="2" l="1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HH38" i="2" s="1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EA38" i="2" s="1"/>
  <c r="HC38" i="2"/>
  <c r="HI38" i="2" s="1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FS38" i="2" l="1"/>
  <c r="EX38" i="2"/>
  <c r="EW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HG40" i="2" s="1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EX40" i="2" l="1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G42" i="2" s="1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V42" i="2" l="1"/>
  <c r="EA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I43" i="2" s="1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A43" i="2" l="1"/>
  <c r="EX43" i="2"/>
  <c r="DG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FS44" i="2" l="1"/>
  <c r="EW44" i="2"/>
  <c r="EC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X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C46" i="2" s="1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W46" i="2" l="1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G47" i="2" s="1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G48" i="2" s="1"/>
  <c r="HE48" i="2"/>
  <c r="HH48" i="2" s="1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EC48" i="2" l="1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G50" i="2" s="1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I50" i="2" s="1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C50" i="2" s="1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FS50" i="2" l="1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A51" i="2" l="1"/>
  <c r="EX51" i="2"/>
  <c r="EB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B52" i="2" s="1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HG53" i="2" s="1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X54" i="2" l="1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I55" i="2" s="1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HG56" i="2" s="1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FS56" i="2" l="1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HG57" i="2" s="1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HI57" i="2" s="1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FS57" i="2" l="1"/>
  <c r="EV57" i="2"/>
  <c r="EB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EA58" i="2" s="1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C58" i="2" s="1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X58" i="2" l="1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EC59" i="2" s="1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A59" i="2" l="1"/>
  <c r="EB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G60" i="2" s="1"/>
  <c r="HE60" i="2"/>
  <c r="HH60" i="2" s="1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V60" i="2" l="1"/>
  <c r="EW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EA61" i="2" s="1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X61" i="2" l="1"/>
  <c r="EV61" i="2"/>
  <c r="EW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HH62" i="2" s="1"/>
  <c r="GI62" i="2"/>
  <c r="GJ62" i="2"/>
  <c r="ET62" i="2"/>
  <c r="FO62" i="2"/>
  <c r="FN62" i="2"/>
  <c r="DY62" i="2"/>
  <c r="ES62" i="2"/>
  <c r="DX62" i="2"/>
  <c r="EA62" i="2" s="1"/>
  <c r="BN62" i="2"/>
  <c r="DD62" i="2"/>
  <c r="CH62" i="2"/>
  <c r="AS62" i="2"/>
  <c r="W62" i="2"/>
  <c r="DC62" i="2"/>
  <c r="CI62" i="2"/>
  <c r="BM62" i="2"/>
  <c r="X62" i="2"/>
  <c r="AR62" i="2"/>
  <c r="HC62" i="2"/>
  <c r="HI62" i="2" s="1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B62" i="2" l="1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EB63" i="2" s="1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EC63" i="2" s="1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X63" i="2" l="1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C64" i="2" l="1"/>
  <c r="EA64" i="2"/>
  <c r="EV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HH66" i="2" s="1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FS66" i="2" l="1"/>
  <c r="EX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HH67" i="2" s="1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EV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FS69" i="2" l="1"/>
  <c r="EC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G70" i="2" s="1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W70" i="2" l="1"/>
  <c r="EB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HH71" i="2" s="1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W71" i="2" l="1"/>
  <c r="EA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EX72" i="2" l="1"/>
  <c r="EB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G74" i="2" s="1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R74" i="2" l="1"/>
  <c r="FS74" i="2"/>
  <c r="EW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HH75" i="2" s="1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FS75" i="2" l="1"/>
  <c r="EA75" i="2"/>
  <c r="EB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FS76" i="2" l="1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EB77" i="2"/>
  <c r="EA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EB78" i="2" s="1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W78" i="2"/>
  <c r="EC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EB79" i="2" s="1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I79" i="2" l="1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G80" i="2" s="1"/>
  <c r="HE80" i="2"/>
  <c r="HH80" i="2" s="1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EC80" i="2" l="1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G82" i="2" s="1"/>
  <c r="HE82" i="2"/>
  <c r="HH82" i="2" s="1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V82" i="2" l="1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HG84" i="2" s="1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HH85" i="2" s="1"/>
  <c r="GJ85" i="2"/>
  <c r="HD85" i="2"/>
  <c r="HG85" i="2" s="1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C85" i="2" l="1"/>
  <c r="EW85" i="2"/>
  <c r="EV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A86" i="2" l="1"/>
  <c r="EB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G87" i="2" s="1"/>
  <c r="HE87" i="2"/>
  <c r="GI87" i="2"/>
  <c r="GJ87" i="2"/>
  <c r="ES87" i="2"/>
  <c r="ET87" i="2"/>
  <c r="FO87" i="2"/>
  <c r="FN87" i="2"/>
  <c r="DY87" i="2"/>
  <c r="EB87" i="2" s="1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X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FS88" i="2" l="1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HG89" i="2" s="1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FS89" i="2" l="1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G90" i="2" s="1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EC90" i="2" l="1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EA91" i="2" s="1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X91" i="2" l="1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W92" i="2" l="1"/>
  <c r="EX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EC93" i="2" l="1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G94" i="2" s="1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EX94" i="2" l="1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EB95" i="2"/>
  <c r="EX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EW98" i="2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HH99" i="2" s="1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X99" i="2" l="1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W100" i="2" l="1"/>
  <c r="EX100" i="2"/>
  <c r="EV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C103" i="2" l="1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W104" i="2" l="1"/>
  <c r="EX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HH105" i="2" s="1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FS105" i="2" l="1"/>
  <c r="EA105" i="2"/>
  <c r="EV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G106" i="2" s="1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EB106" i="2" l="1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EA108" i="2" s="1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FS108" i="2" l="1"/>
  <c r="EB108" i="2"/>
  <c r="EW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G110" i="2" s="1"/>
  <c r="HE110" i="2"/>
  <c r="HH110" i="2" s="1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HI112" i="2" s="1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FQ112" i="2" l="1"/>
  <c r="EX112" i="2"/>
  <c r="EB112" i="2"/>
  <c r="EC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HG113" i="2" s="1"/>
  <c r="GJ113" i="2"/>
  <c r="FO113" i="2"/>
  <c r="FN113" i="2"/>
  <c r="GI113" i="2"/>
  <c r="ET113" i="2"/>
  <c r="CH113" i="2"/>
  <c r="AS113" i="2"/>
  <c r="DY113" i="2"/>
  <c r="EB113" i="2" s="1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FS113" i="2" l="1"/>
  <c r="EX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V114" i="2" l="1"/>
  <c r="EW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EX115" i="2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HG116" i="2" s="1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V116" i="2" l="1"/>
  <c r="EA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EA117" i="2" s="1"/>
  <c r="CI117" i="2"/>
  <c r="BM117" i="2"/>
  <c r="X117" i="2"/>
  <c r="DD117" i="2"/>
  <c r="DC117" i="2"/>
  <c r="BN117" i="2"/>
  <c r="AR117" i="2"/>
  <c r="W117" i="2"/>
  <c r="HF117" i="2"/>
  <c r="GR117" i="2"/>
  <c r="HC117" i="2"/>
  <c r="HI117" i="2" s="1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EX117" i="2" l="1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S118" i="2" l="1"/>
  <c r="FQ118" i="2"/>
  <c r="EX118" i="2"/>
  <c r="EC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G119" i="2" s="1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FR119" i="2" l="1"/>
  <c r="EX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HH120" i="2" s="1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I120" i="2" s="1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FR120" i="2" l="1"/>
  <c r="FQ120" i="2"/>
  <c r="EX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FR121" i="2" l="1"/>
  <c r="EA121" i="2"/>
  <c r="EB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HH122" i="2" s="1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I122" i="2" s="1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FS122" i="2" l="1"/>
  <c r="EW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HH123" i="2" s="1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FS123" i="2" l="1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HH124" i="2" s="1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FS124" i="2" l="1"/>
  <c r="EX124" i="2"/>
  <c r="EW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EC125" i="2" s="1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FS125" i="2" l="1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G126" i="2" s="1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FS126" i="2" l="1"/>
  <c r="EA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I127" i="2" s="1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FS127" i="2" l="1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FS128" i="2" l="1"/>
  <c r="EX128" i="2"/>
  <c r="EV128" i="2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G130" i="2" s="1"/>
  <c r="HE130" i="2"/>
  <c r="HH130" i="2" s="1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I130" i="2" s="1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FS130" i="2" l="1"/>
  <c r="EW130" i="2"/>
  <c r="EX130" i="2"/>
  <c r="EB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G132" i="2" s="1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EC132" i="2" s="1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FS132" i="2" l="1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W133" i="2" l="1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W134" i="2" l="1"/>
  <c r="EV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A135" i="2" l="1"/>
  <c r="EX135" i="2"/>
  <c r="EW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H137" i="2" s="1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EX137" i="2" l="1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EB138" i="2" s="1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C138" i="2" s="1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FS139" i="2" l="1"/>
  <c r="EB139" i="2"/>
  <c r="EW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G140" i="2" s="1"/>
  <c r="HE140" i="2"/>
  <c r="HH140" i="2" s="1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EC140" i="2" s="1"/>
  <c r="DB140" i="2"/>
  <c r="FM140" i="2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FS140" i="2" l="1"/>
  <c r="FR140" i="2"/>
  <c r="EB140" i="2"/>
  <c r="EX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HG141" i="2" s="1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FS141" i="2" l="1"/>
  <c r="EB141" i="2"/>
  <c r="EA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G142" i="2" s="1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W142" i="2" l="1"/>
  <c r="EC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A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G144" i="2" s="1"/>
  <c r="HE144" i="2"/>
  <c r="HH144" i="2" s="1"/>
  <c r="FO144" i="2"/>
  <c r="GJ144" i="2"/>
  <c r="GI144" i="2"/>
  <c r="ES144" i="2"/>
  <c r="DX144" i="2"/>
  <c r="EA144" i="2" s="1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EB144" i="2"/>
  <c r="EX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FR145" i="2" l="1"/>
  <c r="EA145" i="2"/>
  <c r="EB145" i="2"/>
  <c r="EX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G146" i="2" s="1"/>
  <c r="HE146" i="2"/>
  <c r="HH146" i="2" s="1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I146" i="2" s="1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FR146" i="2" l="1"/>
  <c r="FS146" i="2"/>
  <c r="EA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EX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HH149" i="2" s="1"/>
  <c r="GJ149" i="2"/>
  <c r="HD149" i="2"/>
  <c r="HG149" i="2" s="1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X149" i="2" l="1"/>
  <c r="EC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I150" i="2" s="1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EC150" i="2" s="1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FS150" i="2" l="1"/>
  <c r="EV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EC151" i="2" s="1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V151" i="2" l="1"/>
  <c r="EX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EV152" i="2" s="1"/>
  <c r="DX152" i="2"/>
  <c r="FN152" i="2"/>
  <c r="ET152" i="2"/>
  <c r="CI152" i="2"/>
  <c r="BM152" i="2"/>
  <c r="HE152" i="2"/>
  <c r="DC152" i="2"/>
  <c r="DY152" i="2"/>
  <c r="EB152" i="2" s="1"/>
  <c r="AR152" i="2"/>
  <c r="DD152" i="2"/>
  <c r="CH152" i="2"/>
  <c r="BN152" i="2"/>
  <c r="AS152" i="2"/>
  <c r="X152" i="2"/>
  <c r="W152" i="2"/>
  <c r="HC152" i="2"/>
  <c r="HI152" i="2" s="1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C152" i="2" l="1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EB153" i="2" s="1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X153" i="2" l="1"/>
  <c r="EA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B154" i="2" s="1"/>
  <c r="AX150" i="2"/>
  <c r="Z153" i="2"/>
  <c r="AC152" i="2"/>
  <c r="EX154" i="2" l="1"/>
  <c r="AA154" i="2"/>
  <c r="EV154" i="2"/>
  <c r="EC154" i="2"/>
  <c r="EA154" i="2"/>
  <c r="ED154" i="2" s="1"/>
  <c r="FS154" i="2"/>
  <c r="HI154" i="2"/>
  <c r="GN154" i="2"/>
  <c r="DF154" i="2"/>
  <c r="DG154" i="2"/>
  <c r="DH154" i="2"/>
  <c r="DI154" i="2" s="1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D194" i="2"/>
  <c r="G194" i="2" s="1"/>
  <c r="DI153" i="2"/>
  <c r="FT153" i="2"/>
  <c r="CN153" i="2"/>
  <c r="HJ153" i="2"/>
  <c r="GO153" i="2"/>
  <c r="EY153" i="2"/>
  <c r="ED153" i="2"/>
  <c r="AC153" i="2"/>
  <c r="AX151" i="2"/>
  <c r="EY154" i="2" l="1"/>
  <c r="EW155" i="2"/>
  <c r="EX155" i="2"/>
  <c r="EA155" i="2"/>
  <c r="AC154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Y155" i="2" s="1"/>
  <c r="EB155" i="2"/>
  <c r="ED155" i="2" s="1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HI156" i="2" s="1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AX152" i="2"/>
  <c r="FS156" i="2" l="1"/>
  <c r="AB156" i="2"/>
  <c r="EX156" i="2"/>
  <c r="EB156" i="2"/>
  <c r="DH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HG157" i="2" s="1"/>
  <c r="GJ157" i="2"/>
  <c r="HE157" i="2"/>
  <c r="HH157" i="2" s="1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EC157" i="2" s="1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B157" i="2" l="1"/>
  <c r="EX157" i="2"/>
  <c r="EA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HG158" i="2" s="1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EV158" i="2" l="1"/>
  <c r="EW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HH159" i="2" s="1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HI159" i="2" s="1"/>
  <c r="GI159" i="2"/>
  <c r="FP159" i="2"/>
  <c r="EG159" i="2"/>
  <c r="ER159" i="2"/>
  <c r="FL159" i="2"/>
  <c r="ES159" i="2"/>
  <c r="ET159" i="2"/>
  <c r="DW159" i="2"/>
  <c r="EC159" i="2" s="1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D158" i="2" l="1"/>
  <c r="EA159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EC160" i="2" s="1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FS160" i="2" l="1"/>
  <c r="EY159" i="2"/>
  <c r="DG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FS161" i="2" l="1"/>
  <c r="AB161" i="2"/>
  <c r="EX161" i="2"/>
  <c r="EB161" i="2"/>
  <c r="EA161" i="2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HG162" i="2" s="1"/>
  <c r="GJ162" i="2"/>
  <c r="HE162" i="2"/>
  <c r="HH162" i="2" s="1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B162" i="2" s="1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W162" i="2" l="1"/>
  <c r="EC162" i="2"/>
  <c r="FS162" i="2"/>
  <c r="AU162" i="2"/>
  <c r="EX162" i="2"/>
  <c r="EA162" i="2"/>
  <c r="ED162" i="2" s="1"/>
  <c r="EV162" i="2"/>
  <c r="EY162" i="2" s="1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I163" i="2" s="1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EB163" i="2" s="1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AX160" i="2"/>
  <c r="EV163" i="2" l="1"/>
  <c r="EA163" i="2"/>
  <c r="FS163" i="2"/>
  <c r="EC163" i="2"/>
  <c r="ED163" i="2" s="1"/>
  <c r="EX163" i="2"/>
  <c r="DH163" i="2"/>
  <c r="EW163" i="2"/>
  <c r="GN163" i="2"/>
  <c r="DF163" i="2"/>
  <c r="DG163" i="2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G164" i="2" s="1"/>
  <c r="HE164" i="2"/>
  <c r="HH164" i="2" s="1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FR164" i="2" l="1"/>
  <c r="FS164" i="2"/>
  <c r="EY163" i="2"/>
  <c r="EA164" i="2"/>
  <c r="DI163" i="2"/>
  <c r="EV164" i="2"/>
  <c r="EX164" i="2"/>
  <c r="DH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B165" i="2" s="1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X165" i="2" l="1"/>
  <c r="EC165" i="2"/>
  <c r="ED165" i="2" s="1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FS166" i="2" l="1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HI167" i="2" s="1"/>
  <c r="GI167" i="2"/>
  <c r="FP167" i="2"/>
  <c r="EG167" i="2"/>
  <c r="FL167" i="2"/>
  <c r="EQ167" i="2"/>
  <c r="FW167" i="2"/>
  <c r="EU167" i="2"/>
  <c r="DW167" i="2"/>
  <c r="EC167" i="2" s="1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FR167" i="2" l="1"/>
  <c r="EX167" i="2"/>
  <c r="EA167" i="2"/>
  <c r="EB167" i="2"/>
  <c r="DG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EB168" i="2" s="1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DG168" i="2" l="1"/>
  <c r="DI167" i="2"/>
  <c r="EV168" i="2"/>
  <c r="EY168" i="2" s="1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HH169" i="2" s="1"/>
  <c r="GK169" i="2"/>
  <c r="FB169" i="2"/>
  <c r="EQ169" i="2"/>
  <c r="EU169" i="2"/>
  <c r="DM169" i="2"/>
  <c r="FN169" i="2"/>
  <c r="EH169" i="2"/>
  <c r="DY169" i="2"/>
  <c r="EB169" i="2" s="1"/>
  <c r="GG169" i="2"/>
  <c r="ES169" i="2"/>
  <c r="DC169" i="2"/>
  <c r="CI169" i="2"/>
  <c r="ET169" i="2"/>
  <c r="DL169" i="2"/>
  <c r="DD169" i="2"/>
  <c r="CJ169" i="2"/>
  <c r="DW169" i="2"/>
  <c r="DX169" i="2"/>
  <c r="EA169" i="2" s="1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FS169" i="2" l="1"/>
  <c r="EX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D171" i="2" s="1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CN170" i="2"/>
  <c r="ED170" i="2"/>
  <c r="GO170" i="2"/>
  <c r="FT170" i="2"/>
  <c r="AC170" i="2"/>
  <c r="Z171" i="2"/>
  <c r="AB171" i="2"/>
  <c r="AA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G172" i="2" s="1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Y171" i="2" l="1"/>
  <c r="EW172" i="2"/>
  <c r="EV172" i="2"/>
  <c r="EC172" i="2"/>
  <c r="ED172" i="2" s="1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H173" i="2" s="1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EB173" i="2" s="1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X173" i="2" l="1"/>
  <c r="EW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Y173" i="2" s="1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HG174" i="2" s="1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C174" i="2" s="1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EA174" i="2" l="1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EA175" i="2" s="1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ED174" i="2"/>
  <c r="AX172" i="2"/>
  <c r="FS175" i="2" l="1"/>
  <c r="AA175" i="2"/>
  <c r="EW175" i="2"/>
  <c r="EX175" i="2"/>
  <c r="EC175" i="2"/>
  <c r="EV175" i="2"/>
  <c r="EY175" i="2" s="1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HH176" i="2" s="1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C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HH177" i="2" s="1"/>
  <c r="GK177" i="2"/>
  <c r="FB177" i="2"/>
  <c r="EQ177" i="2"/>
  <c r="ET177" i="2"/>
  <c r="DM177" i="2"/>
  <c r="FN177" i="2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FQ177" i="2" l="1"/>
  <c r="FS177" i="2"/>
  <c r="EW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FQ178" i="2" l="1"/>
  <c r="FS178" i="2"/>
  <c r="EA178" i="2"/>
  <c r="EW178" i="2"/>
  <c r="EB178" i="2"/>
  <c r="HI178" i="2"/>
  <c r="EX178" i="2"/>
  <c r="EC178" i="2"/>
  <c r="ED178" i="2" s="1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HG179" i="2" s="1"/>
  <c r="GJ179" i="2"/>
  <c r="HE179" i="2"/>
  <c r="HH179" i="2" s="1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A179" i="2" s="1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V179" i="2" l="1"/>
  <c r="DF179" i="2"/>
  <c r="FS179" i="2"/>
  <c r="EX179" i="2"/>
  <c r="AW179" i="2"/>
  <c r="EC179" i="2"/>
  <c r="ED179" i="2" s="1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G180" i="2" s="1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AX177" i="2"/>
  <c r="EY179" i="2" l="1"/>
  <c r="EX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FS181" i="2" l="1"/>
  <c r="ED180" i="2"/>
  <c r="EW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EC182" i="2" s="1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FS182" i="2" l="1"/>
  <c r="EX182" i="2"/>
  <c r="DG182" i="2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ED182" i="2" s="1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EA183" i="2" s="1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FS183" i="2" l="1"/>
  <c r="EY182" i="2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EY183" i="2" l="1"/>
  <c r="FS184" i="2"/>
  <c r="EX184" i="2"/>
  <c r="EC184" i="2"/>
  <c r="AW184" i="2"/>
  <c r="EB184" i="2"/>
  <c r="EV184" i="2"/>
  <c r="EY184" i="2" s="1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HG185" i="2" s="1"/>
  <c r="GJ185" i="2"/>
  <c r="HE185" i="2"/>
  <c r="HH185" i="2" s="1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AX182" i="2"/>
  <c r="ED184" i="2" l="1"/>
  <c r="EW185" i="2"/>
  <c r="EV185" i="2"/>
  <c r="EA185" i="2"/>
  <c r="EB185" i="2"/>
  <c r="AU185" i="2"/>
  <c r="EX185" i="2"/>
  <c r="FS185" i="2"/>
  <c r="EC185" i="2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HG186" i="2" s="1"/>
  <c r="GJ186" i="2"/>
  <c r="HE186" i="2"/>
  <c r="HH186" i="2" s="1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EA186" i="2" s="1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FS186" i="2" l="1"/>
  <c r="FR186" i="2"/>
  <c r="ED185" i="2"/>
  <c r="EW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HG187" i="2" s="1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EB187" i="2" l="1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G188" i="2" s="1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FS188" i="2" l="1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H189" i="2" s="1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A189" i="2" s="1"/>
  <c r="AX186" i="2"/>
  <c r="EY188" i="2" l="1"/>
  <c r="EV189" i="2"/>
  <c r="EB189" i="2"/>
  <c r="EC189" i="2"/>
  <c r="FS189" i="2"/>
  <c r="HI189" i="2"/>
  <c r="EX189" i="2"/>
  <c r="EA189" i="2"/>
  <c r="ED189" i="2" s="1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HG190" i="2" s="1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EB190" i="2" s="1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AX187" i="2"/>
  <c r="EY189" i="2" l="1"/>
  <c r="EW190" i="2"/>
  <c r="EV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ED190" i="2" s="1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HG191" i="2" s="1"/>
  <c r="GJ191" i="2"/>
  <c r="HE191" i="2"/>
  <c r="HH191" i="2" s="1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AX188" i="2"/>
  <c r="EW191" i="2" l="1"/>
  <c r="EC191" i="2"/>
  <c r="EX191" i="2"/>
  <c r="FS191" i="2"/>
  <c r="EA191" i="2"/>
  <c r="EV191" i="2"/>
  <c r="EY191" i="2" s="1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HH192" i="2" s="1"/>
  <c r="GK192" i="2"/>
  <c r="HF192" i="2"/>
  <c r="FW192" i="2"/>
  <c r="GR192" i="2"/>
  <c r="GS192" i="2"/>
  <c r="GG192" i="2"/>
  <c r="HB192" i="2"/>
  <c r="GH192" i="2"/>
  <c r="HC192" i="2"/>
  <c r="HI192" i="2" s="1"/>
  <c r="GI192" i="2"/>
  <c r="HD192" i="2"/>
  <c r="HG192" i="2" s="1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AX189" i="2"/>
  <c r="EC192" i="2" l="1"/>
  <c r="EV192" i="2"/>
  <c r="EW192" i="2"/>
  <c r="EA192" i="2"/>
  <c r="EB192" i="2"/>
  <c r="AW192" i="2"/>
  <c r="EX192" i="2"/>
  <c r="FS192" i="2"/>
  <c r="GO191" i="2"/>
  <c r="GN192" i="2"/>
  <c r="DG192" i="2"/>
  <c r="DI191" i="2"/>
  <c r="DH192" i="2"/>
  <c r="DF192" i="2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A193" i="2" s="1"/>
  <c r="EU193" i="2"/>
  <c r="DY193" i="2"/>
  <c r="EB193" i="2" s="1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AX190" i="2"/>
  <c r="FQ193" i="2" l="1"/>
  <c r="EY192" i="2"/>
  <c r="EX193" i="2"/>
  <c r="DI192" i="2"/>
  <c r="FS193" i="2"/>
  <c r="EC193" i="2"/>
  <c r="ED193" i="2" s="1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HI194" i="2" s="1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FQ194" i="2" l="1"/>
  <c r="CN193" i="2"/>
  <c r="AW194" i="2"/>
  <c r="DI193" i="2"/>
  <c r="FS194" i="2"/>
  <c r="DF194" i="2"/>
  <c r="EX194" i="2"/>
  <c r="EC194" i="2"/>
  <c r="ED194" i="2" s="1"/>
  <c r="GN194" i="2"/>
  <c r="HH194" i="2"/>
  <c r="DG194" i="2"/>
  <c r="DH194" i="2"/>
  <c r="FR194" i="2"/>
  <c r="GM194" i="2"/>
  <c r="GL194" i="2"/>
  <c r="EV194" i="2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DY195" i="2"/>
  <c r="EB195" i="2" s="1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X192" i="2"/>
  <c r="FQ195" i="2" l="1"/>
  <c r="AA195" i="2"/>
  <c r="EY194" i="2"/>
  <c r="EX195" i="2"/>
  <c r="DH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HH196" i="2" s="1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EW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A197" i="2" s="1"/>
  <c r="AX194" i="2"/>
  <c r="FS197" i="2" l="1"/>
  <c r="EW197" i="2"/>
  <c r="EC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V198" i="2" l="1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HG199" i="2" s="1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FS199" i="2" l="1"/>
  <c r="EY198" i="2"/>
  <c r="EV199" i="2"/>
  <c r="EW199" i="2"/>
  <c r="EA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W200" i="2" l="1"/>
  <c r="EX200" i="2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HG201" i="2" s="1"/>
  <c r="GJ201" i="2"/>
  <c r="HE201" i="2"/>
  <c r="HH201" i="2" s="1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FS201" i="2" l="1"/>
  <c r="DI200" i="2"/>
  <c r="ED200" i="2"/>
  <c r="EB201" i="2"/>
  <c r="EA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FZ6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HH202" i="2" s="1"/>
  <c r="FC202" i="2"/>
  <c r="FP202" i="2"/>
  <c r="EG202" i="2"/>
  <c r="FL202" i="2"/>
  <c r="ES202" i="2"/>
  <c r="FM202" i="2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S202" i="2" l="1"/>
  <c r="FR202" i="2"/>
  <c r="EW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AH92" i="2" a="1"/>
  <c r="AH92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AH151" i="2" a="1"/>
  <c r="AH151" i="2" s="1"/>
  <c r="DN103" i="2" a="1"/>
  <c r="DN103" i="2" s="1"/>
  <c r="DN114" i="2" a="1"/>
  <c r="DN114" i="2" s="1"/>
  <c r="CS77" i="2" a="1"/>
  <c r="CS77" i="2" s="1"/>
  <c r="AH90" i="2" a="1"/>
  <c r="AH90" i="2" s="1"/>
  <c r="AH19" i="2" a="1"/>
  <c r="AH19" i="2" s="1"/>
  <c r="AH166" i="2" a="1"/>
  <c r="AH166" i="2" s="1"/>
  <c r="AH199" i="2" a="1"/>
  <c r="AH199" i="2" s="1"/>
  <c r="AH62" i="2" a="1"/>
  <c r="AH62" i="2" s="1"/>
  <c r="AH163" i="2" a="1"/>
  <c r="AH163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DN187" i="2" a="1"/>
  <c r="DN187" i="2" s="1"/>
  <c r="HJ202" i="2"/>
  <c r="EY202" i="2"/>
  <c r="AX200" i="2"/>
  <c r="FD82" i="2" l="1" a="1"/>
  <c r="FD82" i="2" s="1"/>
  <c r="FS203" i="2"/>
  <c r="FD160" i="2" a="1"/>
  <c r="FD160" i="2" s="1"/>
  <c r="FD187" i="2" a="1"/>
  <c r="FD187" i="2" s="1"/>
  <c r="FD48" i="2" a="1"/>
  <c r="FD48" i="2" s="1"/>
  <c r="FD19" i="2" a="1"/>
  <c r="FD19" i="2" s="1"/>
  <c r="FD137" i="2" a="1"/>
  <c r="FD137" i="2" s="1"/>
  <c r="FD159" i="2" a="1"/>
  <c r="FD159" i="2" s="1"/>
  <c r="FD107" i="2" a="1"/>
  <c r="FD107" i="2" s="1"/>
  <c r="FD167" i="2" a="1"/>
  <c r="FD167" i="2" s="1"/>
  <c r="FD194" i="2" a="1"/>
  <c r="FD194" i="2" s="1"/>
  <c r="FD144" i="2" a="1"/>
  <c r="FD144" i="2" s="1"/>
  <c r="FR203" i="2"/>
  <c r="FD43" i="2" a="1"/>
  <c r="FD43" i="2" s="1"/>
  <c r="FD64" i="2" a="1"/>
  <c r="FD64" i="2" s="1"/>
  <c r="FD189" i="2" a="1"/>
  <c r="FD189" i="2" s="1"/>
  <c r="FD14" i="2" a="1"/>
  <c r="FD14" i="2" s="1"/>
  <c r="FD21" i="2" a="1"/>
  <c r="FD21" i="2" s="1"/>
  <c r="FD44" i="2" a="1"/>
  <c r="FD44" i="2" s="1"/>
  <c r="FD188" i="2" a="1"/>
  <c r="FD188" i="2" s="1"/>
  <c r="FD131" i="2" a="1"/>
  <c r="FD131" i="2" s="1"/>
  <c r="FD60" i="2" a="1"/>
  <c r="FD60" i="2" s="1"/>
  <c r="FD59" i="2" a="1"/>
  <c r="FD59" i="2" s="1"/>
  <c r="BP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FT203" i="2" s="1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FK3" i="2" s="1"/>
  <c r="D13" i="4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FJ138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J201" i="2" l="1"/>
  <c r="FJ48" i="2"/>
  <c r="FJ40" i="2"/>
  <c r="FJ54" i="2"/>
  <c r="FJ36" i="2"/>
  <c r="FJ183" i="2"/>
  <c r="FJ32" i="2"/>
  <c r="FJ126" i="2"/>
  <c r="FJ179" i="2"/>
  <c r="FJ164" i="2"/>
  <c r="FJ42" i="2"/>
  <c r="FJ72" i="2"/>
  <c r="FJ185" i="2"/>
  <c r="FJ61" i="2"/>
  <c r="FJ143" i="2"/>
  <c r="FJ174" i="2"/>
  <c r="FJ153" i="2"/>
  <c r="FJ26" i="2"/>
  <c r="FJ104" i="2"/>
  <c r="FJ159" i="2"/>
  <c r="FJ45" i="2"/>
  <c r="FJ74" i="2"/>
  <c r="FJ142" i="2"/>
  <c r="FJ129" i="2"/>
  <c r="FJ167" i="2"/>
  <c r="FJ169" i="2"/>
  <c r="FJ120" i="2"/>
  <c r="FJ154" i="2"/>
  <c r="FJ168" i="2"/>
  <c r="FJ123" i="2"/>
  <c r="FJ111" i="2"/>
  <c r="FJ9" i="2"/>
  <c r="FJ182" i="2"/>
  <c r="FJ135" i="2"/>
  <c r="FJ39" i="2"/>
  <c r="FJ14" i="2"/>
  <c r="FJ27" i="2"/>
  <c r="FJ30" i="2"/>
  <c r="FJ191" i="2"/>
  <c r="FJ171" i="2"/>
  <c r="FJ93" i="2"/>
  <c r="FJ156" i="2"/>
  <c r="FJ76" i="2"/>
  <c r="FJ97" i="2"/>
  <c r="FJ197" i="2"/>
  <c r="FJ100" i="2"/>
  <c r="FJ7" i="2"/>
  <c r="FJ57" i="2"/>
  <c r="FJ95" i="2"/>
  <c r="FJ16" i="2"/>
  <c r="FJ99" i="2"/>
  <c r="FJ79" i="2"/>
  <c r="FJ141" i="2"/>
  <c r="FJ176" i="2"/>
  <c r="FJ177" i="2"/>
  <c r="FJ128" i="2"/>
  <c r="FJ88" i="2"/>
  <c r="FJ50" i="2"/>
  <c r="FJ203" i="2"/>
  <c r="FJ187" i="2"/>
  <c r="FJ59" i="2"/>
  <c r="FJ53" i="2"/>
  <c r="FJ25" i="2"/>
  <c r="FJ186" i="2"/>
  <c r="FJ175" i="2"/>
  <c r="FJ136" i="2"/>
  <c r="FJ178" i="2"/>
  <c r="FJ23" i="2"/>
  <c r="FJ112" i="2"/>
  <c r="FJ109" i="2"/>
  <c r="FJ158" i="2"/>
  <c r="FJ161" i="2"/>
  <c r="FJ28" i="2"/>
  <c r="FJ41" i="2"/>
  <c r="FJ75" i="2"/>
  <c r="FJ106" i="2"/>
  <c r="FJ155" i="2"/>
  <c r="FJ184" i="2"/>
  <c r="FJ140" i="2"/>
  <c r="FJ6" i="2"/>
  <c r="FJ83" i="2"/>
  <c r="FJ145" i="2"/>
  <c r="FJ31" i="2"/>
  <c r="FJ189" i="2"/>
  <c r="FJ149" i="2"/>
  <c r="FJ11" i="2"/>
  <c r="FJ193" i="2"/>
  <c r="FJ131" i="2"/>
  <c r="FJ110" i="2"/>
  <c r="FJ150" i="2"/>
  <c r="FJ34" i="2"/>
  <c r="FJ194" i="2"/>
  <c r="FJ114" i="2"/>
  <c r="FJ151" i="2"/>
  <c r="FJ22" i="2"/>
  <c r="FJ87" i="2"/>
  <c r="FJ163" i="2"/>
  <c r="FJ118" i="2"/>
  <c r="FJ29" i="2"/>
  <c r="FJ43" i="2"/>
  <c r="FJ63" i="2"/>
  <c r="FJ152" i="2"/>
  <c r="FJ134" i="2"/>
  <c r="FJ130" i="2"/>
  <c r="FJ85" i="2"/>
  <c r="FJ148" i="2"/>
  <c r="FJ20" i="2"/>
  <c r="FJ173" i="2"/>
  <c r="FJ127" i="2"/>
  <c r="FJ181" i="2"/>
  <c r="FJ17" i="2"/>
  <c r="FJ105" i="2"/>
  <c r="FJ33" i="2"/>
  <c r="FJ146" i="2"/>
  <c r="FJ66" i="2"/>
  <c r="FJ195" i="2"/>
  <c r="FJ10" i="2"/>
  <c r="FJ160" i="2"/>
  <c r="FJ65" i="2"/>
  <c r="FJ19" i="2"/>
  <c r="FJ15" i="2"/>
  <c r="FJ56" i="2"/>
  <c r="FJ5" i="2"/>
  <c r="FJ89" i="2"/>
  <c r="FJ188" i="2"/>
  <c r="FJ90" i="2"/>
  <c r="FJ67" i="2"/>
  <c r="FJ52" i="2"/>
  <c r="FJ190" i="2"/>
  <c r="FJ108" i="2"/>
  <c r="FJ119" i="2"/>
  <c r="FJ180" i="2"/>
  <c r="FJ101" i="2"/>
  <c r="FJ144" i="2"/>
  <c r="FJ115" i="2"/>
  <c r="FJ60" i="2"/>
  <c r="FJ64" i="2"/>
  <c r="FJ80" i="2"/>
  <c r="FJ51" i="2"/>
  <c r="FJ58" i="2"/>
  <c r="FJ68" i="2"/>
  <c r="FJ82" i="2"/>
  <c r="FJ202" i="2"/>
  <c r="FJ62" i="2"/>
  <c r="FJ21" i="2"/>
  <c r="FJ124" i="2"/>
  <c r="FJ121" i="2"/>
  <c r="FJ199" i="2"/>
  <c r="FJ81" i="2"/>
  <c r="FJ192" i="2"/>
  <c r="FJ137" i="2"/>
  <c r="FJ3" i="2"/>
  <c r="C13" i="4" s="1"/>
  <c r="E13" i="4" s="1"/>
  <c r="F13" i="4" s="1"/>
  <c r="G13" i="4" s="1"/>
  <c r="L13" i="4" s="1"/>
  <c r="FJ46" i="2"/>
  <c r="FJ94" i="2"/>
  <c r="FJ133" i="2"/>
  <c r="FJ35" i="2"/>
  <c r="FJ170" i="2"/>
  <c r="FJ73" i="2"/>
  <c r="FJ86" i="2"/>
  <c r="FJ102" i="2"/>
  <c r="FJ84" i="2"/>
  <c r="FJ122" i="2"/>
  <c r="FJ69" i="2"/>
  <c r="FJ147" i="2"/>
  <c r="FJ116" i="2"/>
  <c r="FJ103" i="2"/>
  <c r="FJ49" i="2"/>
  <c r="FJ200" i="2"/>
  <c r="FJ78" i="2"/>
  <c r="FJ38" i="2"/>
  <c r="FJ96" i="2"/>
  <c r="FJ125" i="2"/>
  <c r="FJ91" i="2"/>
  <c r="FJ4" i="2"/>
  <c r="FJ113" i="2"/>
  <c r="FJ107" i="2"/>
  <c r="FJ157" i="2"/>
  <c r="FJ8" i="2"/>
  <c r="FJ196" i="2"/>
  <c r="FJ132" i="2"/>
  <c r="FJ71" i="2"/>
  <c r="FJ12" i="2"/>
  <c r="FJ172" i="2"/>
  <c r="FJ13" i="2"/>
  <c r="FJ162" i="2"/>
  <c r="FJ47" i="2"/>
  <c r="FJ77" i="2"/>
  <c r="FJ55" i="2"/>
  <c r="FJ98" i="2"/>
  <c r="FJ166" i="2"/>
  <c r="FJ117" i="2"/>
  <c r="FJ24" i="2"/>
  <c r="FJ139" i="2"/>
  <c r="FJ18" i="2"/>
  <c r="FJ44" i="2"/>
  <c r="FJ198" i="2"/>
  <c r="FJ165" i="2"/>
  <c r="FJ37" i="2"/>
  <c r="FJ70" i="2"/>
  <c r="FJ92" i="2"/>
  <c r="FE85" i="2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FE95" i="2" l="1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Z195" i="2" l="1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DT186" i="2" l="1"/>
  <c r="DT158" i="2"/>
  <c r="DT30" i="2"/>
  <c r="DT78" i="2"/>
  <c r="DT57" i="2"/>
  <c r="DT168" i="2"/>
  <c r="DT179" i="2"/>
  <c r="DT185" i="2"/>
  <c r="DT99" i="2"/>
  <c r="DT118" i="2"/>
  <c r="DT197" i="2"/>
  <c r="DT201" i="2"/>
  <c r="DT145" i="2"/>
  <c r="DT64" i="2"/>
  <c r="DT40" i="2"/>
  <c r="DT114" i="2"/>
  <c r="DT202" i="2"/>
  <c r="DT50" i="2"/>
  <c r="DT48" i="2"/>
  <c r="DT90" i="2"/>
  <c r="DT26" i="2"/>
  <c r="DT25" i="2"/>
  <c r="DT9" i="2"/>
  <c r="DT46" i="2"/>
  <c r="DT115" i="2"/>
  <c r="DT109" i="2"/>
  <c r="DT142" i="2"/>
  <c r="DT199" i="2"/>
  <c r="DT86" i="2"/>
  <c r="DT150" i="2"/>
  <c r="DT96" i="2"/>
  <c r="DT113" i="2"/>
  <c r="DT60" i="2"/>
  <c r="DT94" i="2"/>
  <c r="DT32" i="2"/>
  <c r="DT15" i="2"/>
  <c r="DT91" i="2"/>
  <c r="DT42" i="2"/>
  <c r="DT172" i="2"/>
  <c r="DT52" i="2"/>
  <c r="DT143" i="2"/>
  <c r="DT124" i="2"/>
  <c r="DT73" i="2"/>
  <c r="DT56" i="2"/>
  <c r="DT105" i="2"/>
  <c r="DT137" i="2"/>
  <c r="DT176" i="2"/>
  <c r="DT4" i="2"/>
  <c r="DT198" i="2"/>
  <c r="DT83" i="2"/>
  <c r="DT106" i="2"/>
  <c r="DT10" i="2"/>
  <c r="DT8" i="2"/>
  <c r="DT166" i="2"/>
  <c r="DT31" i="2"/>
  <c r="DT55" i="2"/>
  <c r="DT89" i="2"/>
  <c r="DT173" i="2"/>
  <c r="DT68" i="2"/>
  <c r="DT11" i="2"/>
  <c r="DT97" i="2"/>
  <c r="DT74" i="2"/>
  <c r="DT125" i="2"/>
  <c r="DT180" i="2"/>
  <c r="DT34" i="2"/>
  <c r="DT41" i="2"/>
  <c r="DT3" i="2"/>
  <c r="C11" i="4" s="1"/>
  <c r="E11" i="4" s="1"/>
  <c r="F11" i="4" s="1"/>
  <c r="G11" i="4" s="1"/>
  <c r="L11" i="4" s="1"/>
  <c r="DT131" i="2"/>
  <c r="DT102" i="2"/>
  <c r="DT175" i="2"/>
  <c r="DT100" i="2"/>
  <c r="DT139" i="2"/>
  <c r="DT200" i="2"/>
  <c r="DT129" i="2"/>
  <c r="DT38" i="2"/>
  <c r="DT63" i="2"/>
  <c r="DT140" i="2"/>
  <c r="DT122" i="2"/>
  <c r="DT82" i="2"/>
  <c r="DT107" i="2"/>
  <c r="DT87" i="2"/>
  <c r="DT12" i="2"/>
  <c r="DT84" i="2"/>
  <c r="DT134" i="2"/>
  <c r="DT165" i="2"/>
  <c r="DT174" i="2"/>
  <c r="DT33" i="2"/>
  <c r="DT71" i="2"/>
  <c r="DT7" i="2"/>
  <c r="DT159" i="2"/>
  <c r="DT49" i="2"/>
  <c r="DT169" i="2"/>
  <c r="DT101" i="2"/>
  <c r="DT161" i="2"/>
  <c r="DT111" i="2"/>
  <c r="DT151" i="2"/>
  <c r="DT132" i="2"/>
  <c r="DT153" i="2"/>
  <c r="DT92" i="2"/>
  <c r="DT95" i="2"/>
  <c r="DT45" i="2"/>
  <c r="DT37" i="2"/>
  <c r="DT72" i="2"/>
  <c r="DT183" i="2"/>
  <c r="DT98" i="2"/>
  <c r="DT44" i="2"/>
  <c r="DT126" i="2"/>
  <c r="DT117" i="2"/>
  <c r="DT93" i="2"/>
  <c r="DT170" i="2"/>
  <c r="DT17" i="2"/>
  <c r="DT22" i="2"/>
  <c r="DT54" i="2"/>
  <c r="DT128" i="2"/>
  <c r="DT47" i="2"/>
  <c r="DT59" i="2"/>
  <c r="DT162" i="2"/>
  <c r="DT192" i="2"/>
  <c r="DT27" i="2"/>
  <c r="DT167" i="2"/>
  <c r="DT43" i="2"/>
  <c r="DT110" i="2"/>
  <c r="DT191" i="2"/>
  <c r="DT148" i="2"/>
  <c r="DT6" i="2"/>
  <c r="DT155" i="2"/>
  <c r="DT35" i="2"/>
  <c r="DT80" i="2"/>
  <c r="DT203" i="2"/>
  <c r="DT85" i="2"/>
  <c r="DT66" i="2"/>
  <c r="DT112" i="2"/>
  <c r="DT188" i="2"/>
  <c r="DT81" i="2"/>
  <c r="DT21" i="2"/>
  <c r="DT16" i="2"/>
  <c r="DT75" i="2"/>
  <c r="DT133" i="2"/>
  <c r="DT135" i="2"/>
  <c r="DT121" i="2"/>
  <c r="DT79" i="2"/>
  <c r="DT116" i="2"/>
  <c r="DT5" i="2"/>
  <c r="DT147" i="2"/>
  <c r="DT163" i="2"/>
  <c r="DT177" i="2"/>
  <c r="DT160" i="2"/>
  <c r="DT184" i="2"/>
  <c r="DT157" i="2"/>
  <c r="DT194" i="2"/>
  <c r="DT76" i="2"/>
  <c r="DT104" i="2"/>
  <c r="DT171" i="2"/>
  <c r="DT62" i="2"/>
  <c r="DT187" i="2"/>
  <c r="DT19" i="2"/>
  <c r="DT144" i="2"/>
  <c r="DT51" i="2"/>
  <c r="DT149" i="2"/>
  <c r="DT182" i="2"/>
  <c r="DT154" i="2"/>
  <c r="DT24" i="2"/>
  <c r="DT13" i="2"/>
  <c r="DT58" i="2"/>
  <c r="DT123" i="2"/>
  <c r="DT69" i="2"/>
  <c r="DT196" i="2"/>
  <c r="DT29" i="2"/>
  <c r="DT88" i="2"/>
  <c r="DT181" i="2"/>
  <c r="DT36" i="2"/>
  <c r="DT120" i="2"/>
  <c r="DT65" i="2"/>
  <c r="DT146" i="2"/>
  <c r="DT156" i="2"/>
  <c r="DT189" i="2"/>
  <c r="DT28" i="2"/>
  <c r="DT53" i="2"/>
  <c r="DT39" i="2"/>
  <c r="DT178" i="2"/>
  <c r="DT70" i="2"/>
  <c r="DT190" i="2"/>
  <c r="DT108" i="2"/>
  <c r="DT14" i="2"/>
  <c r="DT195" i="2"/>
  <c r="DT103" i="2"/>
  <c r="DT67" i="2"/>
  <c r="DT23" i="2"/>
  <c r="DT193" i="2"/>
  <c r="DT119" i="2"/>
  <c r="DT164" i="2"/>
  <c r="DT138" i="2"/>
  <c r="DT18" i="2"/>
  <c r="DT136" i="2"/>
  <c r="DT152" i="2"/>
  <c r="DT77" i="2"/>
  <c r="DT130" i="2"/>
  <c r="DT20" i="2"/>
  <c r="DT127" i="2"/>
  <c r="DT141" i="2"/>
  <c r="DT61" i="2"/>
  <c r="CY24" i="2"/>
  <c r="CY167" i="2"/>
  <c r="CY150" i="2"/>
  <c r="CY82" i="2"/>
  <c r="CY63" i="2"/>
  <c r="CY55" i="2"/>
  <c r="CY122" i="2"/>
  <c r="CY86" i="2"/>
  <c r="CY191" i="2"/>
  <c r="CY190" i="2"/>
  <c r="CY51" i="2"/>
  <c r="CY199" i="2"/>
  <c r="CY23" i="2"/>
  <c r="CY203" i="2"/>
  <c r="CY134" i="2"/>
  <c r="CY130" i="2"/>
  <c r="CY149" i="2"/>
  <c r="CY66" i="2"/>
  <c r="CY98" i="2"/>
  <c r="CY45" i="2"/>
  <c r="CY34" i="2"/>
  <c r="CY171" i="2"/>
  <c r="CY193" i="2"/>
  <c r="CY180" i="2"/>
  <c r="CY158" i="2"/>
  <c r="CY52" i="2"/>
  <c r="CY15" i="2"/>
  <c r="CY172" i="2"/>
  <c r="CY81" i="2"/>
  <c r="CY13" i="2"/>
  <c r="CY114" i="2"/>
  <c r="CY97" i="2"/>
  <c r="CY68" i="2"/>
  <c r="CY29" i="2"/>
  <c r="CY17" i="2"/>
  <c r="CY165" i="2"/>
  <c r="CY18" i="2"/>
  <c r="CY141" i="2"/>
  <c r="CY123" i="2"/>
  <c r="CY75" i="2"/>
  <c r="CY36" i="2"/>
  <c r="CY7" i="2"/>
  <c r="CY30" i="2"/>
  <c r="CY176" i="2"/>
  <c r="CY14" i="2"/>
  <c r="CY69" i="2"/>
  <c r="CY54" i="2"/>
  <c r="CY128" i="2"/>
  <c r="CY139" i="2"/>
  <c r="CY41" i="2"/>
  <c r="CY143" i="2"/>
  <c r="CY9" i="2"/>
  <c r="CY202" i="2"/>
  <c r="CY189" i="2"/>
  <c r="CY118" i="2"/>
  <c r="CY125" i="2"/>
  <c r="CY137" i="2"/>
  <c r="CY31" i="2"/>
  <c r="CY65" i="2"/>
  <c r="CY94" i="2"/>
  <c r="CY119" i="2"/>
  <c r="CY105" i="2"/>
  <c r="CY140" i="2"/>
  <c r="CY39" i="2"/>
  <c r="CY102" i="2"/>
  <c r="CY61" i="2"/>
  <c r="CY40" i="2"/>
  <c r="CY22" i="2"/>
  <c r="CY184" i="2"/>
  <c r="CY26" i="2"/>
  <c r="CY96" i="2"/>
  <c r="CY6" i="2"/>
  <c r="CY169" i="2"/>
  <c r="CY155" i="2"/>
  <c r="CY95" i="2"/>
  <c r="CY89" i="2"/>
  <c r="CY25" i="2"/>
  <c r="CY116" i="2"/>
  <c r="CY43" i="2"/>
  <c r="CY144" i="2"/>
  <c r="CY173" i="2"/>
  <c r="CY44" i="2"/>
  <c r="CY79" i="2"/>
  <c r="CY72" i="2"/>
  <c r="CY84" i="2"/>
  <c r="CY3" i="2"/>
  <c r="C10" i="4" s="1"/>
  <c r="E10" i="4" s="1"/>
  <c r="F10" i="4" s="1"/>
  <c r="G10" i="4" s="1"/>
  <c r="L10" i="4" s="1"/>
  <c r="CY160" i="2"/>
  <c r="CY8" i="2"/>
  <c r="CY112" i="2"/>
  <c r="CY181" i="2"/>
  <c r="CY197" i="2"/>
  <c r="CY110" i="2"/>
  <c r="CY170" i="2"/>
  <c r="CY83" i="2"/>
  <c r="CY148" i="2"/>
  <c r="CY131" i="2"/>
  <c r="CY166" i="2"/>
  <c r="CY5" i="2"/>
  <c r="CY87" i="2"/>
  <c r="CY88" i="2"/>
  <c r="CY28" i="2"/>
  <c r="CY179" i="2"/>
  <c r="CY164" i="2"/>
  <c r="CY21" i="2"/>
  <c r="CY70" i="2"/>
  <c r="CY152" i="2"/>
  <c r="CY48" i="2"/>
  <c r="CY32" i="2"/>
  <c r="CY188" i="2"/>
  <c r="CY92" i="2"/>
  <c r="CY67" i="2"/>
  <c r="CY153" i="2"/>
  <c r="CY185" i="2"/>
  <c r="CY80" i="2"/>
  <c r="CY107" i="2"/>
  <c r="CY4" i="2"/>
  <c r="CY74" i="2"/>
  <c r="CY58" i="2"/>
  <c r="CY93" i="2"/>
  <c r="CY162" i="2"/>
  <c r="CY33" i="2"/>
  <c r="CY146" i="2"/>
  <c r="CY106" i="2"/>
  <c r="CY103" i="2"/>
  <c r="CY16" i="2"/>
  <c r="CY120" i="2"/>
  <c r="CY101" i="2"/>
  <c r="CY12" i="2"/>
  <c r="CY151" i="2"/>
  <c r="CY186" i="2"/>
  <c r="CY195" i="2"/>
  <c r="CY126" i="2"/>
  <c r="CY99" i="2"/>
  <c r="CY115" i="2"/>
  <c r="CY91" i="2"/>
  <c r="CY196" i="2"/>
  <c r="CY27" i="2"/>
  <c r="CY49" i="2"/>
  <c r="CY168" i="2"/>
  <c r="CY136" i="2"/>
  <c r="CY200" i="2"/>
  <c r="CY62" i="2"/>
  <c r="CY133" i="2"/>
  <c r="CY198" i="2"/>
  <c r="CY50" i="2"/>
  <c r="CY194" i="2"/>
  <c r="CY201" i="2"/>
  <c r="CY90" i="2"/>
  <c r="CY163" i="2"/>
  <c r="CY42" i="2"/>
  <c r="CY77" i="2"/>
  <c r="CY47" i="2"/>
  <c r="CY71" i="2"/>
  <c r="CY177" i="2"/>
  <c r="CY37" i="2"/>
  <c r="CY121" i="2"/>
  <c r="CY124" i="2"/>
  <c r="CY187" i="2"/>
  <c r="CY178" i="2"/>
  <c r="CY132" i="2"/>
  <c r="CY73" i="2"/>
  <c r="CY111" i="2"/>
  <c r="CY104" i="2"/>
  <c r="CY109" i="2"/>
  <c r="CY60" i="2"/>
  <c r="CY100" i="2"/>
  <c r="CY154" i="2"/>
  <c r="CY161" i="2"/>
  <c r="CY38" i="2"/>
  <c r="CY192" i="2"/>
  <c r="CY76" i="2"/>
  <c r="CY113" i="2"/>
  <c r="CY46" i="2"/>
  <c r="CY53" i="2"/>
  <c r="CY35" i="2"/>
  <c r="CY78" i="2"/>
  <c r="CY57" i="2"/>
  <c r="CY175" i="2"/>
  <c r="CY19" i="2"/>
  <c r="CY117" i="2"/>
  <c r="CY129" i="2"/>
  <c r="CY59" i="2"/>
  <c r="CY135" i="2"/>
  <c r="CY10" i="2"/>
  <c r="CY156" i="2"/>
  <c r="CY108" i="2"/>
  <c r="CY182" i="2"/>
  <c r="CY20" i="2"/>
  <c r="CY85" i="2"/>
  <c r="CY56" i="2"/>
  <c r="CY145" i="2"/>
  <c r="CY64" i="2"/>
  <c r="CY183" i="2"/>
  <c r="CY157" i="2"/>
  <c r="CY138" i="2"/>
  <c r="CY127" i="2"/>
  <c r="CY142" i="2"/>
  <c r="CY11" i="2"/>
  <c r="CY159" i="2"/>
  <c r="CY174" i="2"/>
  <c r="CY147" i="2"/>
  <c r="CD60" i="2"/>
  <c r="CD70" i="2"/>
  <c r="CD122" i="2"/>
  <c r="CD156" i="2"/>
  <c r="CD96" i="2"/>
  <c r="CD42" i="2"/>
  <c r="CD40" i="2"/>
  <c r="CD146" i="2"/>
  <c r="CD9" i="2"/>
  <c r="CD141" i="2"/>
  <c r="CD174" i="2"/>
  <c r="CD76" i="2"/>
  <c r="CD19" i="2"/>
  <c r="CD147" i="2"/>
  <c r="CD173" i="2"/>
  <c r="CD107" i="2"/>
  <c r="CD111" i="2"/>
  <c r="CD86" i="2"/>
  <c r="CD51" i="2"/>
  <c r="CD85" i="2"/>
  <c r="CD7" i="2"/>
  <c r="CD124" i="2"/>
  <c r="CD175" i="2"/>
  <c r="CD69" i="2"/>
  <c r="CD153" i="2"/>
  <c r="CD77" i="2"/>
  <c r="CD116" i="2"/>
  <c r="CD72" i="2"/>
  <c r="CD18" i="2"/>
  <c r="CD196" i="2"/>
  <c r="CD103" i="2"/>
  <c r="CD22" i="2"/>
  <c r="CD181" i="2"/>
  <c r="CD151" i="2"/>
  <c r="CD63" i="2"/>
  <c r="CD106" i="2"/>
  <c r="CD143" i="2"/>
  <c r="CD192" i="2"/>
  <c r="CD148" i="2"/>
  <c r="CD54" i="2"/>
  <c r="CD150" i="2"/>
  <c r="CD88" i="2"/>
  <c r="CD3" i="2"/>
  <c r="C9" i="4" s="1"/>
  <c r="E9" i="4" s="1"/>
  <c r="F9" i="4" s="1"/>
  <c r="G9" i="4" s="1"/>
  <c r="L9" i="4" s="1"/>
  <c r="CD200" i="2"/>
  <c r="CD91" i="2"/>
  <c r="CD45" i="2"/>
  <c r="CD165" i="2"/>
  <c r="CD127" i="2"/>
  <c r="CD12" i="2"/>
  <c r="CD145" i="2"/>
  <c r="CD58" i="2"/>
  <c r="CD35" i="2"/>
  <c r="CD159" i="2"/>
  <c r="CD8" i="2"/>
  <c r="CD10" i="2"/>
  <c r="CD74" i="2"/>
  <c r="CD152" i="2"/>
  <c r="CD101" i="2"/>
  <c r="CD105" i="2"/>
  <c r="CD83" i="2"/>
  <c r="CD169" i="2"/>
  <c r="CD194" i="2"/>
  <c r="CD182" i="2"/>
  <c r="CD36" i="2"/>
  <c r="CD4" i="2"/>
  <c r="CD191" i="2"/>
  <c r="CD193" i="2"/>
  <c r="CD109" i="2"/>
  <c r="CD137" i="2"/>
  <c r="CD178" i="2"/>
  <c r="CD119" i="2"/>
  <c r="CD93" i="2"/>
  <c r="CD131" i="2"/>
  <c r="CD44" i="2"/>
  <c r="CD30" i="2"/>
  <c r="CD66" i="2"/>
  <c r="CD128" i="2"/>
  <c r="CD113" i="2"/>
  <c r="CD155" i="2"/>
  <c r="CD203" i="2"/>
  <c r="CD163" i="2"/>
  <c r="CD32" i="2"/>
  <c r="CD186" i="2"/>
  <c r="CD179" i="2"/>
  <c r="CD198" i="2"/>
  <c r="CD34" i="2"/>
  <c r="CD120" i="2"/>
  <c r="CD37" i="2"/>
  <c r="CD49" i="2"/>
  <c r="CD61" i="2"/>
  <c r="CD189" i="2"/>
  <c r="CD161" i="2"/>
  <c r="CD56" i="2"/>
  <c r="CD62" i="2"/>
  <c r="CD67" i="2"/>
  <c r="CD59" i="2"/>
  <c r="CD160" i="2"/>
  <c r="CD185" i="2"/>
  <c r="CD87" i="2"/>
  <c r="CD176" i="2"/>
  <c r="CD68" i="2"/>
  <c r="CD180" i="2"/>
  <c r="CD94" i="2"/>
  <c r="CD110" i="2"/>
  <c r="CD104" i="2"/>
  <c r="CD118" i="2"/>
  <c r="CD38" i="2"/>
  <c r="CD114" i="2"/>
  <c r="CD95" i="2"/>
  <c r="CD53" i="2"/>
  <c r="CD89" i="2"/>
  <c r="CD82" i="2"/>
  <c r="CD78" i="2"/>
  <c r="CD14" i="2"/>
  <c r="CD27" i="2"/>
  <c r="CD132" i="2"/>
  <c r="CD177" i="2"/>
  <c r="CD183" i="2"/>
  <c r="CD48" i="2"/>
  <c r="CD73" i="2"/>
  <c r="CD139" i="2"/>
  <c r="CD195" i="2"/>
  <c r="CD55" i="2"/>
  <c r="CD92" i="2"/>
  <c r="CD29" i="2"/>
  <c r="CD13" i="2"/>
  <c r="CD144" i="2"/>
  <c r="CD138" i="2"/>
  <c r="CD50" i="2"/>
  <c r="CD65" i="2"/>
  <c r="CD168" i="2"/>
  <c r="CD26" i="2"/>
  <c r="CD11" i="2"/>
  <c r="CD129" i="2"/>
  <c r="CD57" i="2"/>
  <c r="CD23" i="2"/>
  <c r="CD125" i="2"/>
  <c r="CD133" i="2"/>
  <c r="CD43" i="2"/>
  <c r="CD123" i="2"/>
  <c r="CD167" i="2"/>
  <c r="CD71" i="2"/>
  <c r="CD154" i="2"/>
  <c r="CD100" i="2"/>
  <c r="CD187" i="2"/>
  <c r="CD75" i="2"/>
  <c r="CD201" i="2"/>
  <c r="CD33" i="2"/>
  <c r="CD17" i="2"/>
  <c r="CD24" i="2"/>
  <c r="CD134" i="2"/>
  <c r="CD202" i="2"/>
  <c r="CD166" i="2"/>
  <c r="CD90" i="2"/>
  <c r="CD164" i="2"/>
  <c r="CD21" i="2"/>
  <c r="CD5" i="2"/>
  <c r="CD188" i="2"/>
  <c r="CD121" i="2"/>
  <c r="CD108" i="2"/>
  <c r="CD16" i="2"/>
  <c r="CD162" i="2"/>
  <c r="CD25" i="2"/>
  <c r="CD126" i="2"/>
  <c r="CD15" i="2"/>
  <c r="CD170" i="2"/>
  <c r="CD149" i="2"/>
  <c r="CD171" i="2"/>
  <c r="CD112" i="2"/>
  <c r="CD99" i="2"/>
  <c r="CD52" i="2"/>
  <c r="CD102" i="2"/>
  <c r="CD135" i="2"/>
  <c r="CD157" i="2"/>
  <c r="CD142" i="2"/>
  <c r="CD84" i="2"/>
  <c r="CD136" i="2"/>
  <c r="CD158" i="2"/>
  <c r="CD79" i="2"/>
  <c r="CD190" i="2"/>
  <c r="CD184" i="2"/>
  <c r="CD64" i="2"/>
  <c r="CD172" i="2"/>
  <c r="CD31" i="2"/>
  <c r="CD81" i="2"/>
  <c r="CD47" i="2"/>
  <c r="CD80" i="2"/>
  <c r="CD140" i="2"/>
  <c r="CD117" i="2"/>
  <c r="CD197" i="2"/>
  <c r="CD115" i="2"/>
  <c r="CD6" i="2"/>
  <c r="CD46" i="2"/>
  <c r="CD20" i="2"/>
  <c r="CD28" i="2"/>
  <c r="CD199" i="2"/>
  <c r="CD130" i="2"/>
  <c r="CD41" i="2"/>
  <c r="CD98" i="2"/>
  <c r="CD39" i="2"/>
  <c r="CD97" i="2"/>
  <c r="FE155" i="2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J16" i="2" l="1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I47" i="2" l="1"/>
  <c r="BI159" i="2"/>
  <c r="BI30" i="2"/>
  <c r="BI188" i="2"/>
  <c r="BI189" i="2"/>
  <c r="BI170" i="2"/>
  <c r="BI62" i="2"/>
  <c r="BI127" i="2"/>
  <c r="BI20" i="2"/>
  <c r="BI167" i="2"/>
  <c r="BI24" i="2"/>
  <c r="BI171" i="2"/>
  <c r="BI152" i="2"/>
  <c r="BI113" i="2"/>
  <c r="BI41" i="2"/>
  <c r="BI132" i="2"/>
  <c r="BI195" i="2"/>
  <c r="BI104" i="2"/>
  <c r="BI6" i="2"/>
  <c r="BI103" i="2"/>
  <c r="BI83" i="2"/>
  <c r="BI111" i="2"/>
  <c r="BI91" i="2"/>
  <c r="BI59" i="2"/>
  <c r="BI99" i="2"/>
  <c r="BI8" i="2"/>
  <c r="BI74" i="2"/>
  <c r="BI27" i="2"/>
  <c r="BI71" i="2"/>
  <c r="BI197" i="2"/>
  <c r="BI142" i="2"/>
  <c r="BI156" i="2"/>
  <c r="BI25" i="2"/>
  <c r="BI93" i="2"/>
  <c r="BI60" i="2"/>
  <c r="BI12" i="2"/>
  <c r="BI9" i="2"/>
  <c r="BI26" i="2"/>
  <c r="BI143" i="2"/>
  <c r="BI76" i="2"/>
  <c r="BI179" i="2"/>
  <c r="BI128" i="2"/>
  <c r="BI202" i="2"/>
  <c r="BI141" i="2"/>
  <c r="BI84" i="2"/>
  <c r="BI194" i="2"/>
  <c r="BI176" i="2"/>
  <c r="BI92" i="2"/>
  <c r="BI180" i="2"/>
  <c r="BI46" i="2"/>
  <c r="BI44" i="2"/>
  <c r="BI97" i="2"/>
  <c r="BI13" i="2"/>
  <c r="BI174" i="2"/>
  <c r="BI196" i="2"/>
  <c r="BI15" i="2"/>
  <c r="BI17" i="2"/>
  <c r="BI42" i="2"/>
  <c r="BI75" i="2"/>
  <c r="BI11" i="2"/>
  <c r="BI155" i="2"/>
  <c r="BI49" i="2"/>
  <c r="BI21" i="2"/>
  <c r="BI116" i="2"/>
  <c r="BI90" i="2"/>
  <c r="BI3" i="2"/>
  <c r="C8" i="4" s="1"/>
  <c r="E8" i="4" s="1"/>
  <c r="F8" i="4" s="1"/>
  <c r="G8" i="4" s="1"/>
  <c r="L8" i="4" s="1"/>
  <c r="BI34" i="2"/>
  <c r="BI154" i="2"/>
  <c r="BI136" i="2"/>
  <c r="BI96" i="2"/>
  <c r="BI5" i="2"/>
  <c r="BI191" i="2"/>
  <c r="BI94" i="2"/>
  <c r="BI146" i="2"/>
  <c r="BI182" i="2"/>
  <c r="BI61" i="2"/>
  <c r="BI119" i="2"/>
  <c r="BI173" i="2"/>
  <c r="BI58" i="2"/>
  <c r="BI138" i="2"/>
  <c r="BI69" i="2"/>
  <c r="BI79" i="2"/>
  <c r="BI51" i="2"/>
  <c r="BI164" i="2"/>
  <c r="BI192" i="2"/>
  <c r="BI39" i="2"/>
  <c r="BI78" i="2"/>
  <c r="BI186" i="2"/>
  <c r="BI166" i="2"/>
  <c r="BI126" i="2"/>
  <c r="BI107" i="2"/>
  <c r="BI122" i="2"/>
  <c r="BI183" i="2"/>
  <c r="BI114" i="2"/>
  <c r="BI121" i="2"/>
  <c r="BI48" i="2"/>
  <c r="BI73" i="2"/>
  <c r="BI100" i="2"/>
  <c r="BI56" i="2"/>
  <c r="BI70" i="2"/>
  <c r="BI18" i="2"/>
  <c r="BI145" i="2"/>
  <c r="BI172" i="2"/>
  <c r="BI87" i="2"/>
  <c r="BI80" i="2"/>
  <c r="BI137" i="2"/>
  <c r="BI106" i="2"/>
  <c r="BI102" i="2"/>
  <c r="BI134" i="2"/>
  <c r="BI112" i="2"/>
  <c r="BI45" i="2"/>
  <c r="BI201" i="2"/>
  <c r="BI50" i="2"/>
  <c r="BI77" i="2"/>
  <c r="BI32" i="2"/>
  <c r="BI129" i="2"/>
  <c r="BI187" i="2"/>
  <c r="BI153" i="2"/>
  <c r="BI148" i="2"/>
  <c r="BI165" i="2"/>
  <c r="BI125" i="2"/>
  <c r="BI81" i="2"/>
  <c r="BI181" i="2"/>
  <c r="BI198" i="2"/>
  <c r="BI29" i="2"/>
  <c r="BI118" i="2"/>
  <c r="BI123" i="2"/>
  <c r="BI168" i="2"/>
  <c r="BI160" i="2"/>
  <c r="BI31" i="2"/>
  <c r="BI10" i="2"/>
  <c r="BI147" i="2"/>
  <c r="BI23" i="2"/>
  <c r="BI131" i="2"/>
  <c r="BI33" i="2"/>
  <c r="BI65" i="2"/>
  <c r="BI101" i="2"/>
  <c r="BI109" i="2"/>
  <c r="BI64" i="2"/>
  <c r="BI163" i="2"/>
  <c r="BI130" i="2"/>
  <c r="BI98" i="2"/>
  <c r="BI14" i="2"/>
  <c r="BI35" i="2"/>
  <c r="BI190" i="2"/>
  <c r="BI66" i="2"/>
  <c r="BI184" i="2"/>
  <c r="BI72" i="2"/>
  <c r="BI82" i="2"/>
  <c r="BI53" i="2"/>
  <c r="BI68" i="2"/>
  <c r="BI140" i="2"/>
  <c r="BI117" i="2"/>
  <c r="BI175" i="2"/>
  <c r="BI135" i="2"/>
  <c r="BI133" i="2"/>
  <c r="BI110" i="2"/>
  <c r="BI144" i="2"/>
  <c r="BI86" i="2"/>
  <c r="BI37" i="2"/>
  <c r="BI108" i="2"/>
  <c r="BI158" i="2"/>
  <c r="BI63" i="2"/>
  <c r="BI28" i="2"/>
  <c r="BI54" i="2"/>
  <c r="BI185" i="2"/>
  <c r="BI120" i="2"/>
  <c r="BI193" i="2"/>
  <c r="BI149" i="2"/>
  <c r="BI36" i="2"/>
  <c r="BI55" i="2"/>
  <c r="BI199" i="2"/>
  <c r="BI151" i="2"/>
  <c r="BI7" i="2"/>
  <c r="BI85" i="2"/>
  <c r="BI38" i="2"/>
  <c r="BI4" i="2"/>
  <c r="BI88" i="2"/>
  <c r="BI169" i="2"/>
  <c r="BI105" i="2"/>
  <c r="BI43" i="2"/>
  <c r="BI19" i="2"/>
  <c r="BI57" i="2"/>
  <c r="BI16" i="2"/>
  <c r="BI157" i="2"/>
  <c r="BI177" i="2"/>
  <c r="BI162" i="2"/>
  <c r="BI89" i="2"/>
  <c r="BI67" i="2"/>
  <c r="BI161" i="2"/>
  <c r="BI52" i="2"/>
  <c r="BI115" i="2"/>
  <c r="BI40" i="2"/>
  <c r="BI150" i="2"/>
  <c r="BI22" i="2"/>
  <c r="BI203" i="2"/>
  <c r="BI139" i="2"/>
  <c r="BI200" i="2"/>
  <c r="BI95" i="2"/>
  <c r="BI178" i="2"/>
  <c r="BI124" i="2"/>
  <c r="BS152" i="2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<sst xmlns="http://schemas.openxmlformats.org/spreadsheetml/2006/main" count="1176" uniqueCount="324">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</sst>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38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3.1079825342915606</c:v>
                </c:pt>
                <c:pt idx="2">
                  <c:v>3.9831352858359232</c:v>
                </c:pt>
                <c:pt idx="3">
                  <c:v>5.1056841629476652</c:v>
                </c:pt>
                <c:pt idx="4">
                  <c:v>6.5458229996824224</c:v>
                </c:pt>
                <c:pt idx="5">
                  <c:v>8.3937300292591015</c:v>
                </c:pt>
                <c:pt idx="6">
                  <c:v>10.765275524303604</c:v>
                </c:pt>
                <c:pt idx="7">
                  <c:v>13.809364307377871</c:v>
                </c:pt>
                <c:pt idx="8">
                  <c:v>17.717382659817904</c:v>
                </c:pt>
                <c:pt idx="9">
                  <c:v>22.735354328524441</c:v>
                </c:pt>
                <c:pt idx="10">
                  <c:v>29.179584501081067</c:v>
                </c:pt>
                <c:pt idx="11">
                  <c:v>37.456795063324897</c:v>
                </c:pt>
                <c:pt idx="12">
                  <c:v>48.090043708972111</c:v>
                </c:pt>
                <c:pt idx="13">
                  <c:v>61.752092288547864</c:v>
                </c:pt>
                <c:pt idx="14">
                  <c:v>79.308370348833833</c:v>
                </c:pt>
                <c:pt idx="15">
                  <c:v>101.87229931916873</c:v>
                </c:pt>
                <c:pt idx="16">
                  <c:v>117.38937647857762</c:v>
                </c:pt>
                <c:pt idx="17">
                  <c:v>132.85632044015878</c:v>
                </c:pt>
                <c:pt idx="18">
                  <c:v>148.27979814657829</c:v>
                </c:pt>
                <c:pt idx="19">
                  <c:v>163.66497200540442</c:v>
                </c:pt>
                <c:pt idx="20">
                  <c:v>179.01595233014768</c:v>
                </c:pt>
                <c:pt idx="21">
                  <c:v>150.93502097988929</c:v>
                </c:pt>
                <c:pt idx="22">
                  <c:v>166.57888122303586</c:v>
                </c:pt>
                <c:pt idx="23">
                  <c:v>182.18806689822352</c:v>
                </c:pt>
                <c:pt idx="24">
                  <c:v>197.76596851143412</c:v>
                </c:pt>
                <c:pt idx="25">
                  <c:v>213.3153981069141</c:v>
                </c:pt>
                <c:pt idx="26">
                  <c:v>228.57582257279714</c:v>
                </c:pt>
                <c:pt idx="27">
                  <c:v>243.81294312639758</c:v>
                </c:pt>
                <c:pt idx="28">
                  <c:v>259.02842143420224</c:v>
                </c:pt>
                <c:pt idx="29">
                  <c:v>274.22370791396878</c:v>
                </c:pt>
                <c:pt idx="30">
                  <c:v>289.4000790583874</c:v>
                </c:pt>
                <c:pt idx="31">
                  <c:v>241.187440815473</c:v>
                </c:pt>
                <c:pt idx="32">
                  <c:v>255.88209316670418</c:v>
                </c:pt>
                <c:pt idx="33">
                  <c:v>270.55765774209493</c:v>
                </c:pt>
                <c:pt idx="34">
                  <c:v>285.21531583652148</c:v>
                </c:pt>
                <c:pt idx="35">
                  <c:v>299.85611737495464</c:v>
                </c:pt>
                <c:pt idx="36">
                  <c:v>313.69791468998773</c:v>
                </c:pt>
                <c:pt idx="37">
                  <c:v>327.52617272821135</c:v>
                </c:pt>
                <c:pt idx="38">
                  <c:v>341.34154369544405</c:v>
                </c:pt>
                <c:pt idx="39">
                  <c:v>355.14462268619019</c:v>
                </c:pt>
                <c:pt idx="40">
                  <c:v>368.93595475683128</c:v>
                </c:pt>
                <c:pt idx="41">
                  <c:v>311.34839401232813</c:v>
                </c:pt>
                <c:pt idx="42">
                  <c:v>324.13555271053275</c:v>
                </c:pt>
                <c:pt idx="43">
                  <c:v>336.91156479598618</c:v>
                </c:pt>
                <c:pt idx="44">
                  <c:v>349.67691259476123</c:v>
                </c:pt>
                <c:pt idx="45">
                  <c:v>362.43204033543674</c:v>
                </c:pt>
                <c:pt idx="46">
                  <c:v>374.65732842785491</c:v>
                </c:pt>
                <c:pt idx="47">
                  <c:v>386.87392753668519</c:v>
                </c:pt>
                <c:pt idx="48">
                  <c:v>399.08215074461054</c:v>
                </c:pt>
                <c:pt idx="49">
                  <c:v>411.28229041391364</c:v>
                </c:pt>
                <c:pt idx="50">
                  <c:v>423.47462014479123</c:v>
                </c:pt>
                <c:pt idx="51">
                  <c:v>364.77374091176671</c:v>
                </c:pt>
                <c:pt idx="52">
                  <c:v>376.21737131771482</c:v>
                </c:pt>
                <c:pt idx="53">
                  <c:v>387.6534228804025</c:v>
                </c:pt>
                <c:pt idx="54">
                  <c:v>399.08215074461049</c:v>
                </c:pt>
                <c:pt idx="55">
                  <c:v>410.50379424613106</c:v>
                </c:pt>
                <c:pt idx="56">
                  <c:v>421.39987026288958</c:v>
                </c:pt>
                <c:pt idx="57">
                  <c:v>432.28988076377004</c:v>
                </c:pt>
                <c:pt idx="58">
                  <c:v>443.17400011470886</c:v>
                </c:pt>
                <c:pt idx="59">
                  <c:v>454.05239341686456</c:v>
                </c:pt>
                <c:pt idx="60">
                  <c:v>464.92521721380859</c:v>
                </c:pt>
                <c:pt idx="61">
                  <c:v>406.35127452425991</c:v>
                </c:pt>
                <c:pt idx="62">
                  <c:v>416.47145514591904</c:v>
                </c:pt>
                <c:pt idx="63">
                  <c:v>426.58633509322271</c:v>
                </c:pt>
                <c:pt idx="64">
                  <c:v>436.69605780694877</c:v>
                </c:pt>
                <c:pt idx="65">
                  <c:v>446.8007595428424</c:v>
                </c:pt>
                <c:pt idx="66">
                  <c:v>456.38274791123877</c:v>
                </c:pt>
                <c:pt idx="67">
                  <c:v>465.96043924488578</c:v>
                </c:pt>
                <c:pt idx="68">
                  <c:v>475.53393434312346</c:v>
                </c:pt>
                <c:pt idx="69">
                  <c:v>485.1033296147063</c:v>
                </c:pt>
                <c:pt idx="70">
                  <c:v>494.66871735374849</c:v>
                </c:pt>
                <c:pt idx="71">
                  <c:v>440.32395743657571</c:v>
                </c:pt>
                <c:pt idx="72">
                  <c:v>449.390915778725</c:v>
                </c:pt>
                <c:pt idx="73">
                  <c:v>458.4539606614365</c:v>
                </c:pt>
                <c:pt idx="74">
                  <c:v>467.51318038276736</c:v>
                </c:pt>
                <c:pt idx="75">
                  <c:v>476.56865953860353</c:v>
                </c:pt>
                <c:pt idx="76">
                  <c:v>485.36190589341754</c:v>
                </c:pt>
                <c:pt idx="77">
                  <c:v>494.15177034208205</c:v>
                </c:pt>
                <c:pt idx="78">
                  <c:v>502.93832153954008</c:v>
                </c:pt>
                <c:pt idx="79">
                  <c:v>511.72162554562624</c:v>
                </c:pt>
                <c:pt idx="80">
                  <c:v>520.5017459669815</c:v>
                </c:pt>
                <c:pt idx="81">
                  <c:v>468.289509706199</c:v>
                </c:pt>
                <c:pt idx="82">
                  <c:v>476.82733336513166</c:v>
                </c:pt>
                <c:pt idx="83">
                  <c:v>485.3619058934176</c:v>
                </c:pt>
                <c:pt idx="84">
                  <c:v>493.89329253818352</c:v>
                </c:pt>
                <c:pt idx="85">
                  <c:v>502.42155610790496</c:v>
                </c:pt>
                <c:pt idx="86">
                  <c:v>510.17186383581696</c:v>
                </c:pt>
                <c:pt idx="87">
                  <c:v>517.91968442316318</c:v>
                </c:pt>
                <c:pt idx="88">
                  <c:v>525.66506033509472</c:v>
                </c:pt>
                <c:pt idx="89">
                  <c:v>533.40803268292461</c:v>
                </c:pt>
                <c:pt idx="90">
                  <c:v>541.1486412867431</c:v>
                </c:pt>
                <c:pt idx="91">
                  <c:v>492.08386752016168</c:v>
                </c:pt>
                <c:pt idx="92">
                  <c:v>499.8375599577796</c:v>
                </c:pt>
                <c:pt idx="93">
                  <c:v>507.58870641276661</c:v>
                </c:pt>
                <c:pt idx="94">
                  <c:v>515.33735125988164</c:v>
                </c:pt>
                <c:pt idx="95">
                  <c:v>523.08353743016426</c:v>
                </c:pt>
                <c:pt idx="96">
                  <c:v>530.31112959477809</c:v>
                </c:pt>
                <c:pt idx="97">
                  <c:v>537.53664894399822</c:v>
                </c:pt>
                <c:pt idx="98">
                  <c:v>544.76012727881914</c:v>
                </c:pt>
                <c:pt idx="99">
                  <c:v>551.98159548783872</c:v>
                </c:pt>
                <c:pt idx="100">
                  <c:v>559.20108358528967</c:v>
                </c:pt>
                <c:pt idx="101">
                  <c:v>513.14215334887604</c:v>
                </c:pt>
                <c:pt idx="102">
                  <c:v>519.98535531367281</c:v>
                </c:pt>
                <c:pt idx="103">
                  <c:v>526.82665842707786</c:v>
                </c:pt>
                <c:pt idx="104">
                  <c:v>533.6660908348241</c:v>
                </c:pt>
                <c:pt idx="105">
                  <c:v>540.50367990210327</c:v>
                </c:pt>
                <c:pt idx="106">
                  <c:v>547.33945224502975</c:v>
                </c:pt>
                <c:pt idx="107">
                  <c:v>554.1734337604471</c:v>
                </c:pt>
                <c:pt idx="108">
                  <c:v>561.00564965419142</c:v>
                </c:pt>
                <c:pt idx="109">
                  <c:v>567.83612446790278</c:v>
                </c:pt>
                <c:pt idx="110">
                  <c:v>574.66488210448233</c:v>
                </c:pt>
                <c:pt idx="111">
                  <c:v>530.69826324876692</c:v>
                </c:pt>
                <c:pt idx="112">
                  <c:v>537.02060847710504</c:v>
                </c:pt>
                <c:pt idx="113">
                  <c:v>543.34138935187991</c:v>
                </c:pt>
                <c:pt idx="114">
                  <c:v>549.66062664564015</c:v>
                </c:pt>
                <c:pt idx="115">
                  <c:v>555.97834061416427</c:v>
                </c:pt>
                <c:pt idx="116">
                  <c:v>562.29455101517237</c:v>
                </c:pt>
                <c:pt idx="117">
                  <c:v>568.60927712615228</c:v>
                </c:pt>
                <c:pt idx="118">
                  <c:v>574.92253776135237</c:v>
                </c:pt>
                <c:pt idx="119">
                  <c:v>581.2343512879894</c:v>
                </c:pt>
                <c:pt idx="120">
                  <c:v>587.54473564171485</c:v>
                </c:pt>
                <c:pt idx="121">
                  <c:v>2.9932409441277661E-12</c:v>
                </c:pt>
                <c:pt idx="122">
                  <c:v>2.9932409441277661E-12</c:v>
                </c:pt>
                <c:pt idx="123">
                  <c:v>2.9932409441277661E-12</c:v>
                </c:pt>
                <c:pt idx="124">
                  <c:v>2.9932409441277661E-12</c:v>
                </c:pt>
                <c:pt idx="125">
                  <c:v>2.9932409441277661E-12</c:v>
                </c:pt>
                <c:pt idx="126">
                  <c:v>2.9932409441277661E-12</c:v>
                </c:pt>
                <c:pt idx="127">
                  <c:v>2.9932409441277661E-12</c:v>
                </c:pt>
                <c:pt idx="128">
                  <c:v>2.9932409441277661E-12</c:v>
                </c:pt>
                <c:pt idx="129">
                  <c:v>2.9932409441277661E-12</c:v>
                </c:pt>
                <c:pt idx="130">
                  <c:v>2.9932409441277661E-12</c:v>
                </c:pt>
                <c:pt idx="131">
                  <c:v>2.9932409441277661E-12</c:v>
                </c:pt>
                <c:pt idx="132">
                  <c:v>2.9932409441277661E-12</c:v>
                </c:pt>
                <c:pt idx="133">
                  <c:v>2.9932409441277661E-12</c:v>
                </c:pt>
                <c:pt idx="134">
                  <c:v>2.9932409441277661E-12</c:v>
                </c:pt>
                <c:pt idx="135">
                  <c:v>2.9932409441277661E-12</c:v>
                </c:pt>
                <c:pt idx="136">
                  <c:v>2.9932409441277661E-12</c:v>
                </c:pt>
                <c:pt idx="137">
                  <c:v>2.9932409441277661E-12</c:v>
                </c:pt>
                <c:pt idx="138">
                  <c:v>2.9932409441277661E-12</c:v>
                </c:pt>
                <c:pt idx="139">
                  <c:v>2.9932409441277661E-12</c:v>
                </c:pt>
                <c:pt idx="140">
                  <c:v>2.9932409441277661E-12</c:v>
                </c:pt>
                <c:pt idx="141">
                  <c:v>2.9932409441277661E-12</c:v>
                </c:pt>
                <c:pt idx="142">
                  <c:v>2.9932409441277661E-12</c:v>
                </c:pt>
                <c:pt idx="143">
                  <c:v>2.9932409441277661E-12</c:v>
                </c:pt>
                <c:pt idx="144">
                  <c:v>2.9932409441277661E-12</c:v>
                </c:pt>
                <c:pt idx="145">
                  <c:v>2.9932409441277661E-12</c:v>
                </c:pt>
                <c:pt idx="146">
                  <c:v>2.9932409441277661E-12</c:v>
                </c:pt>
                <c:pt idx="147">
                  <c:v>2.9932409441277661E-12</c:v>
                </c:pt>
                <c:pt idx="148">
                  <c:v>2.9932409441277661E-12</c:v>
                </c:pt>
                <c:pt idx="149">
                  <c:v>2.9932409441277661E-12</c:v>
                </c:pt>
                <c:pt idx="150">
                  <c:v>2.9932409441277661E-12</c:v>
                </c:pt>
                <c:pt idx="151">
                  <c:v>2.9932409441277661E-12</c:v>
                </c:pt>
                <c:pt idx="152">
                  <c:v>2.9932409441277661E-12</c:v>
                </c:pt>
                <c:pt idx="153">
                  <c:v>2.9932409441277661E-12</c:v>
                </c:pt>
                <c:pt idx="154">
                  <c:v>2.9932409441277661E-12</c:v>
                </c:pt>
                <c:pt idx="155">
                  <c:v>2.9932409441277661E-12</c:v>
                </c:pt>
                <c:pt idx="156">
                  <c:v>2.9932409441277661E-12</c:v>
                </c:pt>
                <c:pt idx="157">
                  <c:v>2.9932409441277661E-12</c:v>
                </c:pt>
                <c:pt idx="158">
                  <c:v>2.9932409441277661E-12</c:v>
                </c:pt>
                <c:pt idx="159">
                  <c:v>2.9932409441277661E-12</c:v>
                </c:pt>
                <c:pt idx="160">
                  <c:v>2.9932409441277661E-12</c:v>
                </c:pt>
                <c:pt idx="161">
                  <c:v>2.9932409441277661E-12</c:v>
                </c:pt>
                <c:pt idx="162">
                  <c:v>2.9932409441277661E-12</c:v>
                </c:pt>
                <c:pt idx="163">
                  <c:v>2.9932409441277661E-12</c:v>
                </c:pt>
                <c:pt idx="164">
                  <c:v>2.9932409441277661E-12</c:v>
                </c:pt>
                <c:pt idx="165">
                  <c:v>2.9932409441277661E-12</c:v>
                </c:pt>
                <c:pt idx="166">
                  <c:v>2.9932409441277661E-12</c:v>
                </c:pt>
                <c:pt idx="167">
                  <c:v>2.9932409441277661E-12</c:v>
                </c:pt>
                <c:pt idx="168">
                  <c:v>2.9932409441277661E-12</c:v>
                </c:pt>
                <c:pt idx="169">
                  <c:v>2.9932409441277661E-12</c:v>
                </c:pt>
                <c:pt idx="170">
                  <c:v>2.9932409441277661E-12</c:v>
                </c:pt>
                <c:pt idx="171">
                  <c:v>2.9932409441277661E-12</c:v>
                </c:pt>
                <c:pt idx="172">
                  <c:v>2.9932409441277661E-12</c:v>
                </c:pt>
                <c:pt idx="173">
                  <c:v>2.9932409441277661E-12</c:v>
                </c:pt>
                <c:pt idx="174">
                  <c:v>2.9932409441277661E-12</c:v>
                </c:pt>
                <c:pt idx="175">
                  <c:v>2.9932409441277661E-12</c:v>
                </c:pt>
                <c:pt idx="176">
                  <c:v>2.9932409441277661E-12</c:v>
                </c:pt>
                <c:pt idx="177">
                  <c:v>2.9932409441277661E-12</c:v>
                </c:pt>
                <c:pt idx="178">
                  <c:v>2.9932409441277661E-12</c:v>
                </c:pt>
                <c:pt idx="179">
                  <c:v>2.9932409441277661E-12</c:v>
                </c:pt>
                <c:pt idx="180">
                  <c:v>2.9932409441277661E-12</c:v>
                </c:pt>
                <c:pt idx="181">
                  <c:v>2.9932409441277661E-12</c:v>
                </c:pt>
                <c:pt idx="182">
                  <c:v>2.9932409441277661E-12</c:v>
                </c:pt>
                <c:pt idx="183">
                  <c:v>2.9932409441277661E-12</c:v>
                </c:pt>
                <c:pt idx="184">
                  <c:v>2.9932409441277661E-12</c:v>
                </c:pt>
                <c:pt idx="185">
                  <c:v>2.9932409441277661E-12</c:v>
                </c:pt>
                <c:pt idx="186">
                  <c:v>2.9932409441277661E-12</c:v>
                </c:pt>
                <c:pt idx="187">
                  <c:v>2.9932409441277661E-12</c:v>
                </c:pt>
                <c:pt idx="188">
                  <c:v>2.9932409441277661E-12</c:v>
                </c:pt>
                <c:pt idx="189">
                  <c:v>2.9932409441277661E-12</c:v>
                </c:pt>
                <c:pt idx="190">
                  <c:v>2.9932409441277661E-12</c:v>
                </c:pt>
                <c:pt idx="191">
                  <c:v>2.9932409441277661E-12</c:v>
                </c:pt>
                <c:pt idx="192">
                  <c:v>2.9932409441277661E-12</c:v>
                </c:pt>
                <c:pt idx="193">
                  <c:v>2.9932409441277661E-12</c:v>
                </c:pt>
                <c:pt idx="194">
                  <c:v>2.9932409441277661E-12</c:v>
                </c:pt>
                <c:pt idx="195">
                  <c:v>2.9932409441277661E-12</c:v>
                </c:pt>
                <c:pt idx="196">
                  <c:v>2.9932409441277661E-12</c:v>
                </c:pt>
                <c:pt idx="197">
                  <c:v>2.9932409441277661E-12</c:v>
                </c:pt>
                <c:pt idx="198">
                  <c:v>2.9932409441277661E-12</c:v>
                </c:pt>
                <c:pt idx="199">
                  <c:v>2.9932409441277661E-12</c:v>
                </c:pt>
                <c:pt idx="200">
                  <c:v>2.9932409441277661E-12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67583072"/>
        <c:axId val="967584160"/>
      </c:scatterChart>
      <c:valAx>
        <c:axId val="9675830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967584160"/>
        <c:crosses val="autoZero"/>
        <c:crossBetween val="midCat"/>
      </c:valAx>
      <c:valAx>
        <c:axId val="9675841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9675830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03487584"/>
        <c:axId val="1203480512"/>
      </c:scatterChart>
      <c:valAx>
        <c:axId val="120348758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203480512"/>
        <c:crosses val="autoZero"/>
        <c:crossBetween val="midCat"/>
      </c:valAx>
      <c:valAx>
        <c:axId val="12034805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20348758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2.5722677930534954</c:v>
                </c:pt>
                <c:pt idx="2">
                  <c:v>2.9621842966335081</c:v>
                </c:pt>
                <c:pt idx="3">
                  <c:v>3.4114188821959091</c:v>
                </c:pt>
                <c:pt idx="4">
                  <c:v>3.9290262090163979</c:v>
                </c:pt>
                <c:pt idx="5">
                  <c:v>4.5254474752842002</c:v>
                </c:pt>
                <c:pt idx="6">
                  <c:v>5.2127233645153082</c:v>
                </c:pt>
                <c:pt idx="7">
                  <c:v>6.0047397856420881</c:v>
                </c:pt>
                <c:pt idx="8">
                  <c:v>6.9175114696400923</c:v>
                </c:pt>
                <c:pt idx="9">
                  <c:v>7.9695092689740825</c:v>
                </c:pt>
                <c:pt idx="10">
                  <c:v>9.182037911044862</c:v>
                </c:pt>
                <c:pt idx="11">
                  <c:v>10.579672002068646</c:v>
                </c:pt>
                <c:pt idx="12">
                  <c:v>12.190759285230749</c:v>
                </c:pt>
                <c:pt idx="13">
                  <c:v>14.048001551728753</c:v>
                </c:pt>
                <c:pt idx="14">
                  <c:v>16.189125214584752</c:v>
                </c:pt>
                <c:pt idx="15">
                  <c:v>18.657655416524996</c:v>
                </c:pt>
                <c:pt idx="16">
                  <c:v>37.727903052748182</c:v>
                </c:pt>
                <c:pt idx="17">
                  <c:v>56.524479039485897</c:v>
                </c:pt>
                <c:pt idx="18">
                  <c:v>75.154841693095705</c:v>
                </c:pt>
                <c:pt idx="19">
                  <c:v>93.666644730165203</c:v>
                </c:pt>
                <c:pt idx="20">
                  <c:v>112.08679847851981</c:v>
                </c:pt>
                <c:pt idx="21">
                  <c:v>131.19552875292825</c:v>
                </c:pt>
                <c:pt idx="22">
                  <c:v>150.23693675874819</c:v>
                </c:pt>
                <c:pt idx="23">
                  <c:v>169.22076873606747</c:v>
                </c:pt>
                <c:pt idx="24">
                  <c:v>188.15439824972211</c:v>
                </c:pt>
                <c:pt idx="25">
                  <c:v>207.04359025710687</c:v>
                </c:pt>
                <c:pt idx="26">
                  <c:v>146.05306344957884</c:v>
                </c:pt>
                <c:pt idx="27">
                  <c:v>164.6694744129513</c:v>
                </c:pt>
                <c:pt idx="28">
                  <c:v>183.23613938898782</c:v>
                </c:pt>
                <c:pt idx="29">
                  <c:v>201.75881092692782</c:v>
                </c:pt>
                <c:pt idx="30">
                  <c:v>220.24209728386407</c:v>
                </c:pt>
                <c:pt idx="31">
                  <c:v>236.43267338641553</c:v>
                </c:pt>
                <c:pt idx="32">
                  <c:v>252.59797413681909</c:v>
                </c:pt>
                <c:pt idx="33">
                  <c:v>268.73984484198553</c:v>
                </c:pt>
                <c:pt idx="34">
                  <c:v>284.85989094555777</c:v>
                </c:pt>
                <c:pt idx="35">
                  <c:v>300.95952130477968</c:v>
                </c:pt>
                <c:pt idx="36">
                  <c:v>236.43267338641553</c:v>
                </c:pt>
                <c:pt idx="37">
                  <c:v>250.71952474895636</c:v>
                </c:pt>
                <c:pt idx="38">
                  <c:v>264.98792439409277</c:v>
                </c:pt>
                <c:pt idx="39">
                  <c:v>279.23900597474045</c:v>
                </c:pt>
                <c:pt idx="40">
                  <c:v>293.47377793906486</c:v>
                </c:pt>
                <c:pt idx="41">
                  <c:v>305.82302433005208</c:v>
                </c:pt>
                <c:pt idx="42">
                  <c:v>318.16118821698814</c:v>
                </c:pt>
                <c:pt idx="43">
                  <c:v>330.48876005573726</c:v>
                </c:pt>
                <c:pt idx="44">
                  <c:v>342.80619071488059</c:v>
                </c:pt>
                <c:pt idx="45">
                  <c:v>355.11389600890431</c:v>
                </c:pt>
                <c:pt idx="46">
                  <c:v>292.35055150938035</c:v>
                </c:pt>
                <c:pt idx="47">
                  <c:v>302.45616879398875</c:v>
                </c:pt>
                <c:pt idx="48">
                  <c:v>312.55427347160997</c:v>
                </c:pt>
                <c:pt idx="49">
                  <c:v>322.6451426246872</c:v>
                </c:pt>
                <c:pt idx="50">
                  <c:v>332.72903457884451</c:v>
                </c:pt>
                <c:pt idx="51">
                  <c:v>341.68683217968459</c:v>
                </c:pt>
                <c:pt idx="52">
                  <c:v>350.63946715468188</c:v>
                </c:pt>
                <c:pt idx="53">
                  <c:v>359.58708999068585</c:v>
                </c:pt>
                <c:pt idx="54">
                  <c:v>368.52984306951663</c:v>
                </c:pt>
                <c:pt idx="55">
                  <c:v>377.46786129486031</c:v>
                </c:pt>
                <c:pt idx="56">
                  <c:v>340.56739298972934</c:v>
                </c:pt>
                <c:pt idx="57">
                  <c:v>348.40178403373949</c:v>
                </c:pt>
                <c:pt idx="58">
                  <c:v>356.23230957994457</c:v>
                </c:pt>
                <c:pt idx="59">
                  <c:v>364.05906664989806</c:v>
                </c:pt>
                <c:pt idx="60">
                  <c:v>371.88214774985937</c:v>
                </c:pt>
                <c:pt idx="61">
                  <c:v>377.84017788163402</c:v>
                </c:pt>
                <c:pt idx="62">
                  <c:v>383.79616295666898</c:v>
                </c:pt>
                <c:pt idx="63">
                  <c:v>389.75013922020366</c:v>
                </c:pt>
                <c:pt idx="64">
                  <c:v>395.70214171866616</c:v>
                </c:pt>
                <c:pt idx="65">
                  <c:v>401.65220435716355</c:v>
                </c:pt>
                <c:pt idx="66">
                  <c:v>375.60615822359949</c:v>
                </c:pt>
                <c:pt idx="67">
                  <c:v>381.19066877305676</c:v>
                </c:pt>
                <c:pt idx="68">
                  <c:v>386.7733999720669</c:v>
                </c:pt>
                <c:pt idx="69">
                  <c:v>392.35438115419703</c:v>
                </c:pt>
                <c:pt idx="70">
                  <c:v>397.93364074958481</c:v>
                </c:pt>
                <c:pt idx="71">
                  <c:v>402.76762782233112</c:v>
                </c:pt>
                <c:pt idx="72">
                  <c:v>407.60035995338347</c:v>
                </c:pt>
                <c:pt idx="73">
                  <c:v>412.4318541373803</c:v>
                </c:pt>
                <c:pt idx="74">
                  <c:v>417.26212693788665</c:v>
                </c:pt>
                <c:pt idx="75">
                  <c:v>422.091194503304</c:v>
                </c:pt>
                <c:pt idx="76">
                  <c:v>426.54773922354394</c:v>
                </c:pt>
                <c:pt idx="77">
                  <c:v>431.00328251520631</c:v>
                </c:pt>
                <c:pt idx="78">
                  <c:v>435.45783620208459</c:v>
                </c:pt>
                <c:pt idx="79">
                  <c:v>439.91141184608779</c:v>
                </c:pt>
                <c:pt idx="80">
                  <c:v>444.36402075569316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03483776"/>
        <c:axId val="1203484320"/>
      </c:scatterChart>
      <c:valAx>
        <c:axId val="120348377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203484320"/>
        <c:crosses val="autoZero"/>
        <c:crossBetween val="midCat"/>
      </c:valAx>
      <c:valAx>
        <c:axId val="12034843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20348377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2.8409897721730037</c:v>
                </c:pt>
                <c:pt idx="2">
                  <c:v>3.4936137767656628</c:v>
                </c:pt>
                <c:pt idx="3">
                  <c:v>4.2967268910058536</c:v>
                </c:pt>
                <c:pt idx="4">
                  <c:v>5.2851544779514645</c:v>
                </c:pt>
                <c:pt idx="5">
                  <c:v>6.5018078390654601</c:v>
                </c:pt>
                <c:pt idx="6">
                  <c:v>7.9995674433027766</c:v>
                </c:pt>
                <c:pt idx="7">
                  <c:v>9.8436060094228282</c:v>
                </c:pt>
                <c:pt idx="8">
                  <c:v>12.11425444224588</c:v>
                </c:pt>
                <c:pt idx="9">
                  <c:v>14.910537800434229</c:v>
                </c:pt>
                <c:pt idx="10">
                  <c:v>18.354538337341264</c:v>
                </c:pt>
                <c:pt idx="11">
                  <c:v>22.596779547894098</c:v>
                </c:pt>
                <c:pt idx="12">
                  <c:v>27.822870730174767</c:v>
                </c:pt>
                <c:pt idx="13">
                  <c:v>34.261707878436859</c:v>
                </c:pt>
                <c:pt idx="14">
                  <c:v>42.195596296668306</c:v>
                </c:pt>
                <c:pt idx="15">
                  <c:v>51.972746288714539</c:v>
                </c:pt>
                <c:pt idx="16">
                  <c:v>64.022699512524582</c:v>
                </c:pt>
                <c:pt idx="17">
                  <c:v>78.875374867413711</c:v>
                </c:pt>
                <c:pt idx="18">
                  <c:v>97.184585031159045</c:v>
                </c:pt>
                <c:pt idx="19">
                  <c:v>119.75707529474329</c:v>
                </c:pt>
                <c:pt idx="20">
                  <c:v>147.58838420434714</c:v>
                </c:pt>
                <c:pt idx="21">
                  <c:v>161.75563241829539</c:v>
                </c:pt>
                <c:pt idx="22">
                  <c:v>175.89351283227515</c:v>
                </c:pt>
                <c:pt idx="23">
                  <c:v>190.00471981377623</c:v>
                </c:pt>
                <c:pt idx="24">
                  <c:v>204.09151430529414</c:v>
                </c:pt>
                <c:pt idx="25">
                  <c:v>218.15581931274576</c:v>
                </c:pt>
                <c:pt idx="26">
                  <c:v>169.613452288893</c:v>
                </c:pt>
                <c:pt idx="27">
                  <c:v>187.65460373716556</c:v>
                </c:pt>
                <c:pt idx="28">
                  <c:v>205.65529308794461</c:v>
                </c:pt>
                <c:pt idx="29">
                  <c:v>223.61956111075639</c:v>
                </c:pt>
                <c:pt idx="30">
                  <c:v>241.55074565033269</c:v>
                </c:pt>
                <c:pt idx="31">
                  <c:v>262.56193918616879</c:v>
                </c:pt>
                <c:pt idx="32">
                  <c:v>283.53519379457339</c:v>
                </c:pt>
                <c:pt idx="33">
                  <c:v>304.47370954373434</c:v>
                </c:pt>
                <c:pt idx="34">
                  <c:v>325.38021038250321</c:v>
                </c:pt>
                <c:pt idx="35">
                  <c:v>346.25704166537042</c:v>
                </c:pt>
                <c:pt idx="36">
                  <c:v>259.45164815796994</c:v>
                </c:pt>
                <c:pt idx="37">
                  <c:v>281.20660167429202</c:v>
                </c:pt>
                <c:pt idx="38">
                  <c:v>302.92383728372175</c:v>
                </c:pt>
                <c:pt idx="39">
                  <c:v>324.60643807826506</c:v>
                </c:pt>
                <c:pt idx="40">
                  <c:v>346.25704166537042</c:v>
                </c:pt>
                <c:pt idx="41">
                  <c:v>368.2637587173711</c:v>
                </c:pt>
                <c:pt idx="42">
                  <c:v>390.24178515868516</c:v>
                </c:pt>
                <c:pt idx="43">
                  <c:v>412.19296293548695</c:v>
                </c:pt>
                <c:pt idx="44">
                  <c:v>434.11892190865478</c:v>
                </c:pt>
                <c:pt idx="45">
                  <c:v>456.02111397099458</c:v>
                </c:pt>
                <c:pt idx="46">
                  <c:v>369.42119511414563</c:v>
                </c:pt>
                <c:pt idx="47">
                  <c:v>390.62711987432004</c:v>
                </c:pt>
                <c:pt idx="48">
                  <c:v>411.8080763786877</c:v>
                </c:pt>
                <c:pt idx="49">
                  <c:v>432.96552861089231</c:v>
                </c:pt>
                <c:pt idx="50">
                  <c:v>454.10078588624395</c:v>
                </c:pt>
                <c:pt idx="51">
                  <c:v>473.68012971962668</c:v>
                </c:pt>
                <c:pt idx="52">
                  <c:v>493.24225474849794</c:v>
                </c:pt>
                <c:pt idx="53">
                  <c:v>512.78793950323291</c:v>
                </c:pt>
                <c:pt idx="54">
                  <c:v>532.31789836558266</c:v>
                </c:pt>
                <c:pt idx="55">
                  <c:v>551.83278906179726</c:v>
                </c:pt>
                <c:pt idx="56">
                  <c:v>462.54894196327677</c:v>
                </c:pt>
                <c:pt idx="57">
                  <c:v>480.58633375842032</c:v>
                </c:pt>
                <c:pt idx="58">
                  <c:v>498.60934258765002</c:v>
                </c:pt>
                <c:pt idx="59">
                  <c:v>516.61856122298457</c:v>
                </c:pt>
                <c:pt idx="60">
                  <c:v>534.61453776319524</c:v>
                </c:pt>
                <c:pt idx="61">
                  <c:v>551.45028504666311</c:v>
                </c:pt>
                <c:pt idx="62">
                  <c:v>568.27526097606199</c:v>
                </c:pt>
                <c:pt idx="63">
                  <c:v>585.08982917045773</c:v>
                </c:pt>
                <c:pt idx="64">
                  <c:v>601.89433065861692</c:v>
                </c:pt>
                <c:pt idx="65">
                  <c:v>618.68908588691215</c:v>
                </c:pt>
                <c:pt idx="66">
                  <c:v>527.34112969241028</c:v>
                </c:pt>
                <c:pt idx="67">
                  <c:v>543.03378149300659</c:v>
                </c:pt>
                <c:pt idx="68">
                  <c:v>558.71691511038489</c:v>
                </c:pt>
                <c:pt idx="69">
                  <c:v>574.39083521123348</c:v>
                </c:pt>
                <c:pt idx="70">
                  <c:v>590.05582848802067</c:v>
                </c:pt>
                <c:pt idx="71">
                  <c:v>604.56686745724687</c:v>
                </c:pt>
                <c:pt idx="72">
                  <c:v>619.07067399707296</c:v>
                </c:pt>
                <c:pt idx="73">
                  <c:v>633.56744133236327</c:v>
                </c:pt>
                <c:pt idx="74">
                  <c:v>648.05735312955619</c:v>
                </c:pt>
                <c:pt idx="75">
                  <c:v>662.54058417706926</c:v>
                </c:pt>
                <c:pt idx="76">
                  <c:v>569.42203544921165</c:v>
                </c:pt>
                <c:pt idx="77">
                  <c:v>583.17959594683214</c:v>
                </c:pt>
                <c:pt idx="78">
                  <c:v>596.93039273337797</c:v>
                </c:pt>
                <c:pt idx="79">
                  <c:v>610.67460350167164</c:v>
                </c:pt>
                <c:pt idx="80">
                  <c:v>624.41239729750225</c:v>
                </c:pt>
                <c:pt idx="81">
                  <c:v>636.99987545603415</c:v>
                </c:pt>
                <c:pt idx="82">
                  <c:v>649.58221541705063</c:v>
                </c:pt>
                <c:pt idx="83">
                  <c:v>662.15953068851047</c:v>
                </c:pt>
                <c:pt idx="84">
                  <c:v>674.73193011676551</c:v>
                </c:pt>
                <c:pt idx="85">
                  <c:v>687.29951816311348</c:v>
                </c:pt>
                <c:pt idx="86">
                  <c:v>699.86239515908403</c:v>
                </c:pt>
                <c:pt idx="87">
                  <c:v>712.42065754245129</c:v>
                </c:pt>
                <c:pt idx="88">
                  <c:v>724.97439807575211</c:v>
                </c:pt>
                <c:pt idx="89">
                  <c:v>737.52370604888972</c:v>
                </c:pt>
                <c:pt idx="90">
                  <c:v>750.06866746724211</c:v>
                </c:pt>
                <c:pt idx="91">
                  <c:v>601.32161215624615</c:v>
                </c:pt>
                <c:pt idx="92">
                  <c:v>612.58301041135394</c:v>
                </c:pt>
                <c:pt idx="93">
                  <c:v>623.84011521480943</c:v>
                </c:pt>
                <c:pt idx="94">
                  <c:v>635.09301493951614</c:v>
                </c:pt>
                <c:pt idx="95">
                  <c:v>646.34179457229266</c:v>
                </c:pt>
                <c:pt idx="96">
                  <c:v>657.58653590152971</c:v>
                </c:pt>
                <c:pt idx="97">
                  <c:v>668.82731769134739</c:v>
                </c:pt>
                <c:pt idx="98">
                  <c:v>680.06421584344105</c:v>
                </c:pt>
                <c:pt idx="99">
                  <c:v>691.29730354768026</c:v>
                </c:pt>
                <c:pt idx="100">
                  <c:v>702.52665142241483</c:v>
                </c:pt>
                <c:pt idx="101">
                  <c:v>712.42065754245107</c:v>
                </c:pt>
                <c:pt idx="102">
                  <c:v>722.31185677865858</c:v>
                </c:pt>
                <c:pt idx="103">
                  <c:v>732.20029297203462</c:v>
                </c:pt>
                <c:pt idx="104">
                  <c:v>742.08600868333099</c:v>
                </c:pt>
                <c:pt idx="105">
                  <c:v>751.96904524735601</c:v>
                </c:pt>
                <c:pt idx="106">
                  <c:v>761.84944282427648</c:v>
                </c:pt>
                <c:pt idx="107">
                  <c:v>771.72724044812094</c:v>
                </c:pt>
                <c:pt idx="108">
                  <c:v>781.60247607267092</c:v>
                </c:pt>
                <c:pt idx="109">
                  <c:v>791.47518661491574</c:v>
                </c:pt>
                <c:pt idx="110">
                  <c:v>801.34540799622619</c:v>
                </c:pt>
                <c:pt idx="111">
                  <c:v>608.19348941446765</c:v>
                </c:pt>
                <c:pt idx="112">
                  <c:v>616.78107210210862</c:v>
                </c:pt>
                <c:pt idx="113">
                  <c:v>625.36617664098856</c:v>
                </c:pt>
                <c:pt idx="114">
                  <c:v>633.94884184663999</c:v>
                </c:pt>
                <c:pt idx="115">
                  <c:v>642.52910539795459</c:v>
                </c:pt>
                <c:pt idx="116">
                  <c:v>651.10700388552493</c:v>
                </c:pt>
                <c:pt idx="117">
                  <c:v>659.68257285730954</c:v>
                </c:pt>
                <c:pt idx="118">
                  <c:v>668.25584686179957</c:v>
                </c:pt>
                <c:pt idx="119">
                  <c:v>676.82685948885762</c:v>
                </c:pt>
                <c:pt idx="120">
                  <c:v>685.39564340837808</c:v>
                </c:pt>
                <c:pt idx="121">
                  <c:v>693.39119233094789</c:v>
                </c:pt>
                <c:pt idx="122">
                  <c:v>701.38485267499789</c:v>
                </c:pt>
                <c:pt idx="123">
                  <c:v>709.37664899579306</c:v>
                </c:pt>
                <c:pt idx="124">
                  <c:v>717.36660525030732</c:v>
                </c:pt>
                <c:pt idx="125">
                  <c:v>725.35474481844449</c:v>
                </c:pt>
                <c:pt idx="126">
                  <c:v>733.34109052327722</c:v>
                </c:pt>
                <c:pt idx="127">
                  <c:v>741.32566465035904</c:v>
                </c:pt>
                <c:pt idx="128">
                  <c:v>749.30848896615805</c:v>
                </c:pt>
                <c:pt idx="129">
                  <c:v>757.28958473566934</c:v>
                </c:pt>
                <c:pt idx="130">
                  <c:v>765.2689727392434</c:v>
                </c:pt>
                <c:pt idx="131">
                  <c:v>599.22154722155733</c:v>
                </c:pt>
                <c:pt idx="132">
                  <c:v>606.47567200029607</c:v>
                </c:pt>
                <c:pt idx="133">
                  <c:v>613.72799533010129</c:v>
                </c:pt>
                <c:pt idx="134">
                  <c:v>620.97854150271451</c:v>
                </c:pt>
                <c:pt idx="135">
                  <c:v>628.22733419629969</c:v>
                </c:pt>
                <c:pt idx="136">
                  <c:v>635.47439649799799</c:v>
                </c:pt>
                <c:pt idx="137">
                  <c:v>642.71975092539503</c:v>
                </c:pt>
                <c:pt idx="138">
                  <c:v>649.96341944697554</c:v>
                </c:pt>
                <c:pt idx="139">
                  <c:v>657.20542350161361</c:v>
                </c:pt>
                <c:pt idx="140">
                  <c:v>664.44578401716376</c:v>
                </c:pt>
                <c:pt idx="141">
                  <c:v>671.1131007030807</c:v>
                </c:pt>
                <c:pt idx="142">
                  <c:v>677.77905606178604</c:v>
                </c:pt>
                <c:pt idx="143">
                  <c:v>684.44366537005408</c:v>
                </c:pt>
                <c:pt idx="144">
                  <c:v>691.10694358289311</c:v>
                </c:pt>
                <c:pt idx="145">
                  <c:v>697.76890534342408</c:v>
                </c:pt>
                <c:pt idx="146">
                  <c:v>704.42956499236743</c:v>
                </c:pt>
                <c:pt idx="147">
                  <c:v>711.08893657714862</c:v>
                </c:pt>
                <c:pt idx="148">
                  <c:v>717.74703386064687</c:v>
                </c:pt>
                <c:pt idx="149">
                  <c:v>724.40387032960223</c:v>
                </c:pt>
                <c:pt idx="150">
                  <c:v>731.05945920269721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03477248"/>
        <c:axId val="1203485952"/>
      </c:scatterChart>
      <c:valAx>
        <c:axId val="120347724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203485952"/>
        <c:crosses val="autoZero"/>
        <c:crossBetween val="midCat"/>
      </c:valAx>
      <c:valAx>
        <c:axId val="12034859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20347724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3.1707548346542</c:v>
                </c:pt>
                <c:pt idx="2">
                  <c:v>3.8994070069335893</c:v>
                </c:pt>
                <c:pt idx="3">
                  <c:v>4.7961395743139903</c:v>
                </c:pt>
                <c:pt idx="4">
                  <c:v>5.8998617479716442</c:v>
                </c:pt>
                <c:pt idx="5">
                  <c:v>7.2585196858425398</c:v>
                </c:pt>
                <c:pt idx="6">
                  <c:v>8.9312018151497536</c:v>
                </c:pt>
                <c:pt idx="7">
                  <c:v>10.990736010102614</c:v>
                </c:pt>
                <c:pt idx="8">
                  <c:v>13.526893830411311</c:v>
                </c:pt>
                <c:pt idx="9">
                  <c:v>16.650344073811482</c:v>
                </c:pt>
                <c:pt idx="10">
                  <c:v>20.497531306964643</c:v>
                </c:pt>
                <c:pt idx="11">
                  <c:v>25.23669631396508</c:v>
                </c:pt>
                <c:pt idx="12">
                  <c:v>31.075306394532003</c:v>
                </c:pt>
                <c:pt idx="13">
                  <c:v>38.269226447074438</c:v>
                </c:pt>
                <c:pt idx="14">
                  <c:v>47.134039619059727</c:v>
                </c:pt>
                <c:pt idx="15">
                  <c:v>58.059022502120392</c:v>
                </c:pt>
                <c:pt idx="16">
                  <c:v>71.524398723990075</c:v>
                </c:pt>
                <c:pt idx="17">
                  <c:v>88.122641699910204</c:v>
                </c:pt>
                <c:pt idx="18">
                  <c:v>108.58477887574996</c:v>
                </c:pt>
                <c:pt idx="19">
                  <c:v>133.81287421387319</c:v>
                </c:pt>
                <c:pt idx="20">
                  <c:v>164.92014306911736</c:v>
                </c:pt>
                <c:pt idx="21">
                  <c:v>180.75557672577415</c:v>
                </c:pt>
                <c:pt idx="22">
                  <c:v>196.55853182882308</c:v>
                </c:pt>
                <c:pt idx="23">
                  <c:v>212.33198814382544</c:v>
                </c:pt>
                <c:pt idx="24">
                  <c:v>228.07844610125684</c:v>
                </c:pt>
                <c:pt idx="25">
                  <c:v>243.80003239943395</c:v>
                </c:pt>
                <c:pt idx="26">
                  <c:v>189.53880266603645</c:v>
                </c:pt>
                <c:pt idx="27">
                  <c:v>209.70501606431188</c:v>
                </c:pt>
                <c:pt idx="28">
                  <c:v>229.82648145953826</c:v>
                </c:pt>
                <c:pt idx="29">
                  <c:v>249.9076676355476</c:v>
                </c:pt>
                <c:pt idx="30">
                  <c:v>269.95226599480003</c:v>
                </c:pt>
                <c:pt idx="31">
                  <c:v>293.44034996889724</c:v>
                </c:pt>
                <c:pt idx="32">
                  <c:v>316.88647637416977</c:v>
                </c:pt>
                <c:pt idx="33">
                  <c:v>340.2941842426967</c:v>
                </c:pt>
                <c:pt idx="34">
                  <c:v>363.66648605477627</c:v>
                </c:pt>
                <c:pt idx="35">
                  <c:v>387.00597559413177</c:v>
                </c:pt>
                <c:pt idx="36">
                  <c:v>289.96337472940422</c:v>
                </c:pt>
                <c:pt idx="37">
                  <c:v>314.28330815365308</c:v>
                </c:pt>
                <c:pt idx="38">
                  <c:v>338.56152844098671</c:v>
                </c:pt>
                <c:pt idx="39">
                  <c:v>362.80144525672239</c:v>
                </c:pt>
                <c:pt idx="40">
                  <c:v>387.00597559413171</c:v>
                </c:pt>
                <c:pt idx="41">
                  <c:v>411.60899407848501</c:v>
                </c:pt>
                <c:pt idx="42">
                  <c:v>436.18028292908167</c:v>
                </c:pt>
                <c:pt idx="43">
                  <c:v>460.72187919832771</c:v>
                </c:pt>
                <c:pt idx="44">
                  <c:v>485.23558538841758</c:v>
                </c:pt>
                <c:pt idx="45">
                  <c:v>509.72300718239194</c:v>
                </c:pt>
                <c:pt idx="46">
                  <c:v>412.90299192267616</c:v>
                </c:pt>
                <c:pt idx="47">
                  <c:v>436.61108755732999</c:v>
                </c:pt>
                <c:pt idx="48">
                  <c:v>460.29157019967312</c:v>
                </c:pt>
                <c:pt idx="49">
                  <c:v>483.94605890429256</c:v>
                </c:pt>
                <c:pt idx="50">
                  <c:v>507.57600167435953</c:v>
                </c:pt>
                <c:pt idx="51">
                  <c:v>529.46660755485038</c:v>
                </c:pt>
                <c:pt idx="52">
                  <c:v>551.33817074688682</c:v>
                </c:pt>
                <c:pt idx="53">
                  <c:v>573.19155224586348</c:v>
                </c:pt>
                <c:pt idx="54">
                  <c:v>595.02754210367516</c:v>
                </c:pt>
                <c:pt idx="55">
                  <c:v>616.84686771553982</c:v>
                </c:pt>
                <c:pt idx="56">
                  <c:v>517.02140203717238</c:v>
                </c:pt>
                <c:pt idx="57">
                  <c:v>537.18811127897277</c:v>
                </c:pt>
                <c:pt idx="58">
                  <c:v>557.33891405416773</c:v>
                </c:pt>
                <c:pt idx="59">
                  <c:v>577.47446592353515</c:v>
                </c:pt>
                <c:pt idx="60">
                  <c:v>597.59537304263779</c:v>
                </c:pt>
                <c:pt idx="61">
                  <c:v>616.41919362679607</c:v>
                </c:pt>
                <c:pt idx="62">
                  <c:v>635.23110191241869</c:v>
                </c:pt>
                <c:pt idx="63">
                  <c:v>654.03150003454277</c:v>
                </c:pt>
                <c:pt idx="64">
                  <c:v>672.82076514505184</c:v>
                </c:pt>
                <c:pt idx="65">
                  <c:v>691.59925163326659</c:v>
                </c:pt>
                <c:pt idx="66">
                  <c:v>589.46311584770126</c:v>
                </c:pt>
                <c:pt idx="67">
                  <c:v>607.00879854794766</c:v>
                </c:pt>
                <c:pt idx="68">
                  <c:v>624.54395486132705</c:v>
                </c:pt>
                <c:pt idx="69">
                  <c:v>642.06892172602977</c:v>
                </c:pt>
                <c:pt idx="70">
                  <c:v>659.58401620212555</c:v>
                </c:pt>
                <c:pt idx="71">
                  <c:v>675.80896375991858</c:v>
                </c:pt>
                <c:pt idx="72">
                  <c:v>692.0259128007566</c:v>
                </c:pt>
                <c:pt idx="73">
                  <c:v>708.23507701664573</c:v>
                </c:pt>
                <c:pt idx="74">
                  <c:v>724.43665952870151</c:v>
                </c:pt>
                <c:pt idx="75">
                  <c:v>740.63085363962227</c:v>
                </c:pt>
                <c:pt idx="76">
                  <c:v>636.51330847982445</c:v>
                </c:pt>
                <c:pt idx="77">
                  <c:v>651.89565867529132</c:v>
                </c:pt>
                <c:pt idx="78">
                  <c:v>667.27052872062916</c:v>
                </c:pt>
                <c:pt idx="79">
                  <c:v>682.63811513058772</c:v>
                </c:pt>
                <c:pt idx="80">
                  <c:v>697.99860485695501</c:v>
                </c:pt>
                <c:pt idx="81">
                  <c:v>712.07297175764188</c:v>
                </c:pt>
                <c:pt idx="82">
                  <c:v>726.1416562025903</c:v>
                </c:pt>
                <c:pt idx="83">
                  <c:v>740.20478372297146</c:v>
                </c:pt>
                <c:pt idx="84">
                  <c:v>754.26247469457383</c:v>
                </c:pt>
                <c:pt idx="85">
                  <c:v>768.31484464364928</c:v>
                </c:pt>
                <c:pt idx="86">
                  <c:v>782.36200452924049</c:v>
                </c:pt>
                <c:pt idx="87">
                  <c:v>796.40406100419239</c:v>
                </c:pt>
                <c:pt idx="88">
                  <c:v>810.44111665681669</c:v>
                </c:pt>
                <c:pt idx="89">
                  <c:v>824.47327023495666</c:v>
                </c:pt>
                <c:pt idx="90">
                  <c:v>838.50061685402079</c:v>
                </c:pt>
                <c:pt idx="91">
                  <c:v>672.18040143052747</c:v>
                </c:pt>
                <c:pt idx="92">
                  <c:v>684.77193672549254</c:v>
                </c:pt>
                <c:pt idx="93">
                  <c:v>697.35872378940894</c:v>
                </c:pt>
                <c:pt idx="94">
                  <c:v>709.94086035598696</c:v>
                </c:pt>
                <c:pt idx="95">
                  <c:v>722.51844041418656</c:v>
                </c:pt>
                <c:pt idx="96">
                  <c:v>735.09155441574831</c:v>
                </c:pt>
                <c:pt idx="97">
                  <c:v>747.66028946779932</c:v>
                </c:pt>
                <c:pt idx="98">
                  <c:v>760.22472951184352</c:v>
                </c:pt>
                <c:pt idx="99">
                  <c:v>772.78495549031084</c:v>
                </c:pt>
                <c:pt idx="100">
                  <c:v>785.34104550172651</c:v>
                </c:pt>
                <c:pt idx="101">
                  <c:v>796.40406100419193</c:v>
                </c:pt>
                <c:pt idx="102">
                  <c:v>807.46397230658113</c:v>
                </c:pt>
                <c:pt idx="103">
                  <c:v>818.52082789370331</c:v>
                </c:pt>
                <c:pt idx="104">
                  <c:v>829.57467483451319</c:v>
                </c:pt>
                <c:pt idx="105">
                  <c:v>840.62555884216636</c:v>
                </c:pt>
                <c:pt idx="106">
                  <c:v>851.67352433075314</c:v>
                </c:pt>
                <c:pt idx="107">
                  <c:v>862.7186144689407</c:v>
                </c:pt>
                <c:pt idx="108">
                  <c:v>873.76087123072591</c:v>
                </c:pt>
                <c:pt idx="109">
                  <c:v>884.80033544349135</c:v>
                </c:pt>
                <c:pt idx="110">
                  <c:v>895.83704683354154</c:v>
                </c:pt>
                <c:pt idx="111">
                  <c:v>679.86394234558031</c:v>
                </c:pt>
                <c:pt idx="112">
                  <c:v>689.46586480458427</c:v>
                </c:pt>
                <c:pt idx="113">
                  <c:v>699.06504661949884</c:v>
                </c:pt>
                <c:pt idx="114">
                  <c:v>708.66153071735243</c:v>
                </c:pt>
                <c:pt idx="115">
                  <c:v>718.25535876813376</c:v>
                </c:pt>
                <c:pt idx="116">
                  <c:v>727.84657123825593</c:v>
                </c:pt>
                <c:pt idx="117">
                  <c:v>737.43520744105729</c:v>
                </c:pt>
                <c:pt idx="118">
                  <c:v>747.02130558454292</c:v>
                </c:pt>
                <c:pt idx="119">
                  <c:v>756.60490281654631</c:v>
                </c:pt>
                <c:pt idx="120">
                  <c:v>766.18603526748586</c:v>
                </c:pt>
                <c:pt idx="121">
                  <c:v>775.12623280017078</c:v>
                </c:pt>
                <c:pt idx="122">
                  <c:v>784.06434170862224</c:v>
                </c:pt>
                <c:pt idx="123">
                  <c:v>793.00038914909612</c:v>
                </c:pt>
                <c:pt idx="124">
                  <c:v>801.93440161618366</c:v>
                </c:pt>
                <c:pt idx="125">
                  <c:v>810.86640496628081</c:v>
                </c:pt>
                <c:pt idx="126">
                  <c:v>819.79642443997091</c:v>
                </c:pt>
                <c:pt idx="127">
                  <c:v>828.72448468338018</c:v>
                </c:pt>
                <c:pt idx="128">
                  <c:v>837.65060976856876</c:v>
                </c:pt>
                <c:pt idx="129">
                  <c:v>846.57482321300313</c:v>
                </c:pt>
                <c:pt idx="130">
                  <c:v>855.49714799817173</c:v>
                </c:pt>
                <c:pt idx="131">
                  <c:v>669.83229376683676</c:v>
                </c:pt>
                <c:pt idx="132">
                  <c:v>677.94322510709105</c:v>
                </c:pt>
                <c:pt idx="133">
                  <c:v>686.05216418180896</c:v>
                </c:pt>
                <c:pt idx="134">
                  <c:v>694.15913785580915</c:v>
                </c:pt>
                <c:pt idx="135">
                  <c:v>702.26417231534106</c:v>
                </c:pt>
                <c:pt idx="136">
                  <c:v>710.36729309302621</c:v>
                </c:pt>
                <c:pt idx="137">
                  <c:v>718.46852509160317</c:v>
                </c:pt>
                <c:pt idx="138">
                  <c:v>726.56789260654466</c:v>
                </c:pt>
                <c:pt idx="139">
                  <c:v>734.66541934761574</c:v>
                </c:pt>
                <c:pt idx="140">
                  <c:v>742.76112845943214</c:v>
                </c:pt>
                <c:pt idx="141">
                  <c:v>750.21611406951013</c:v>
                </c:pt>
                <c:pt idx="142">
                  <c:v>757.66959415520842</c:v>
                </c:pt>
                <c:pt idx="143">
                  <c:v>765.12158561147862</c:v>
                </c:pt>
                <c:pt idx="144">
                  <c:v>772.57210497742165</c:v>
                </c:pt>
                <c:pt idx="145">
                  <c:v>780.02116844721661</c:v>
                </c:pt>
                <c:pt idx="146">
                  <c:v>787.46879188060973</c:v>
                </c:pt>
                <c:pt idx="147">
                  <c:v>794.91499081298491</c:v>
                </c:pt>
                <c:pt idx="148">
                  <c:v>802.35978046504044</c:v>
                </c:pt>
                <c:pt idx="149">
                  <c:v>809.80317575208539</c:v>
                </c:pt>
                <c:pt idx="150">
                  <c:v>817.24519129297687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03482144"/>
        <c:axId val="1203486496"/>
      </c:scatterChart>
      <c:valAx>
        <c:axId val="12034821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203486496"/>
        <c:crosses val="autoZero"/>
        <c:crossBetween val="midCat"/>
      </c:valAx>
      <c:valAx>
        <c:axId val="12034864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2034821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3.3586560307508679</c:v>
                </c:pt>
                <c:pt idx="2">
                  <c:v>4.1306410061423255</c:v>
                </c:pt>
                <c:pt idx="3">
                  <c:v>5.0807351927460944</c:v>
                </c:pt>
                <c:pt idx="4">
                  <c:v>6.2501765565144138</c:v>
                </c:pt>
                <c:pt idx="5">
                  <c:v>7.6897824265263219</c:v>
                </c:pt>
                <c:pt idx="6">
                  <c:v>9.4621815158002143</c:v>
                </c:pt>
                <c:pt idx="7">
                  <c:v>11.644567468377296</c:v>
                </c:pt>
                <c:pt idx="8">
                  <c:v>14.332096103316941</c:v>
                </c:pt>
                <c:pt idx="9">
                  <c:v>17.642077212259725</c:v>
                </c:pt>
                <c:pt idx="10">
                  <c:v>21.719147203029511</c:v>
                </c:pt>
                <c:pt idx="11">
                  <c:v>26.741652658615525</c:v>
                </c:pt>
                <c:pt idx="12">
                  <c:v>32.929528965829938</c:v>
                </c:pt>
                <c:pt idx="13">
                  <c:v>40.55402499266151</c:v>
                </c:pt>
                <c:pt idx="14">
                  <c:v>49.949707364108086</c:v>
                </c:pt>
                <c:pt idx="15">
                  <c:v>61.52927991988566</c:v>
                </c:pt>
                <c:pt idx="16">
                  <c:v>75.801880029428006</c:v>
                </c:pt>
                <c:pt idx="17">
                  <c:v>93.39566927233308</c:v>
                </c:pt>
                <c:pt idx="18">
                  <c:v>115.08572859234651</c:v>
                </c:pt>
                <c:pt idx="19">
                  <c:v>141.82850608908612</c:v>
                </c:pt>
                <c:pt idx="20">
                  <c:v>174.8043598694039</c:v>
                </c:pt>
                <c:pt idx="21">
                  <c:v>191.59133974610231</c:v>
                </c:pt>
                <c:pt idx="22">
                  <c:v>208.34408122016092</c:v>
                </c:pt>
                <c:pt idx="23">
                  <c:v>225.06572551561021</c:v>
                </c:pt>
                <c:pt idx="24">
                  <c:v>241.75890854864349</c:v>
                </c:pt>
                <c:pt idx="25">
                  <c:v>258.42587225263441</c:v>
                </c:pt>
                <c:pt idx="26">
                  <c:v>200.90243103308026</c:v>
                </c:pt>
                <c:pt idx="27">
                  <c:v>222.28082707888197</c:v>
                </c:pt>
                <c:pt idx="28">
                  <c:v>243.61205045301185</c:v>
                </c:pt>
                <c:pt idx="29">
                  <c:v>264.90081208016204</c:v>
                </c:pt>
                <c:pt idx="30">
                  <c:v>286.15100338127621</c:v>
                </c:pt>
                <c:pt idx="31">
                  <c:v>311.05204406793194</c:v>
                </c:pt>
                <c:pt idx="32">
                  <c:v>335.90885371669884</c:v>
                </c:pt>
                <c:pt idx="33">
                  <c:v>360.72516312195717</c:v>
                </c:pt>
                <c:pt idx="34">
                  <c:v>385.50414799512083</c:v>
                </c:pt>
                <c:pt idx="35">
                  <c:v>410.2485426639725</c:v>
                </c:pt>
                <c:pt idx="36">
                  <c:v>307.36589042386976</c:v>
                </c:pt>
                <c:pt idx="37">
                  <c:v>333.1490489500444</c:v>
                </c:pt>
                <c:pt idx="38">
                  <c:v>358.88823411477216</c:v>
                </c:pt>
                <c:pt idx="39">
                  <c:v>384.58704033593949</c:v>
                </c:pt>
                <c:pt idx="40">
                  <c:v>410.24854266397239</c:v>
                </c:pt>
                <c:pt idx="41">
                  <c:v>436.33272253339618</c:v>
                </c:pt>
                <c:pt idx="42">
                  <c:v>462.38345350022161</c:v>
                </c:pt>
                <c:pt idx="43">
                  <c:v>488.40288299445155</c:v>
                </c:pt>
                <c:pt idx="44">
                  <c:v>514.39291118678466</c:v>
                </c:pt>
                <c:pt idx="45">
                  <c:v>540.35523076412767</c:v>
                </c:pt>
                <c:pt idx="46">
                  <c:v>437.70462758915534</c:v>
                </c:pt>
                <c:pt idx="47">
                  <c:v>462.8401985900677</c:v>
                </c:pt>
                <c:pt idx="48">
                  <c:v>487.94666038986725</c:v>
                </c:pt>
                <c:pt idx="49">
                  <c:v>513.02571977154446</c:v>
                </c:pt>
                <c:pt idx="50">
                  <c:v>538.07890319826015</c:v>
                </c:pt>
                <c:pt idx="51">
                  <c:v>561.28811451546608</c:v>
                </c:pt>
                <c:pt idx="52">
                  <c:v>584.47725131696131</c:v>
                </c:pt>
                <c:pt idx="53">
                  <c:v>607.64722125113985</c:v>
                </c:pt>
                <c:pt idx="54">
                  <c:v>630.79885717882416</c:v>
                </c:pt>
                <c:pt idx="55">
                  <c:v>653.93292590911062</c:v>
                </c:pt>
                <c:pt idx="56">
                  <c:v>548.09324346307551</c:v>
                </c:pt>
                <c:pt idx="57">
                  <c:v>569.47475955098787</c:v>
                </c:pt>
                <c:pt idx="58">
                  <c:v>590.83950728108505</c:v>
                </c:pt>
                <c:pt idx="59">
                  <c:v>612.18817773567764</c:v>
                </c:pt>
                <c:pt idx="60">
                  <c:v>633.52140991484157</c:v>
                </c:pt>
                <c:pt idx="61">
                  <c:v>653.47948098691757</c:v>
                </c:pt>
                <c:pt idx="62">
                  <c:v>673.42499429307338</c:v>
                </c:pt>
                <c:pt idx="63">
                  <c:v>693.35837375801611</c:v>
                </c:pt>
                <c:pt idx="64">
                  <c:v>713.28001696958779</c:v>
                </c:pt>
                <c:pt idx="65">
                  <c:v>733.19029751967912</c:v>
                </c:pt>
                <c:pt idx="66">
                  <c:v>624.8991574180119</c:v>
                </c:pt>
                <c:pt idx="67">
                  <c:v>643.50204276587419</c:v>
                </c:pt>
                <c:pt idx="68">
                  <c:v>662.09383135504959</c:v>
                </c:pt>
                <c:pt idx="69">
                  <c:v>680.67487838070929</c:v>
                </c:pt>
                <c:pt idx="70">
                  <c:v>699.24551808280933</c:v>
                </c:pt>
                <c:pt idx="71">
                  <c:v>716.44831231729302</c:v>
                </c:pt>
                <c:pt idx="72">
                  <c:v>733.64267463552369</c:v>
                </c:pt>
                <c:pt idx="73">
                  <c:v>750.82883030840048</c:v>
                </c:pt>
                <c:pt idx="74">
                  <c:v>768.0069934631473</c:v>
                </c:pt>
                <c:pt idx="75">
                  <c:v>785.17736787656111</c:v>
                </c:pt>
                <c:pt idx="76">
                  <c:v>674.78446916222117</c:v>
                </c:pt>
                <c:pt idx="77">
                  <c:v>691.09381526985146</c:v>
                </c:pt>
                <c:pt idx="78">
                  <c:v>707.39527591573994</c:v>
                </c:pt>
                <c:pt idx="79">
                  <c:v>723.6890582627783</c:v>
                </c:pt>
                <c:pt idx="80">
                  <c:v>739.9753593927303</c:v>
                </c:pt>
                <c:pt idx="81">
                  <c:v>754.89805719297362</c:v>
                </c:pt>
                <c:pt idx="82">
                  <c:v>769.81476463385832</c:v>
                </c:pt>
                <c:pt idx="83">
                  <c:v>784.72561404845692</c:v>
                </c:pt>
                <c:pt idx="84">
                  <c:v>799.63073233511477</c:v>
                </c:pt>
                <c:pt idx="85">
                  <c:v>814.53024127986862</c:v>
                </c:pt>
                <c:pt idx="86">
                  <c:v>829.42425785407204</c:v>
                </c:pt>
                <c:pt idx="87">
                  <c:v>844.31289448954988</c:v>
                </c:pt>
                <c:pt idx="88">
                  <c:v>859.19625933335737</c:v>
                </c:pt>
                <c:pt idx="89">
                  <c:v>874.0744564839855</c:v>
                </c:pt>
                <c:pt idx="90">
                  <c:v>888.94758621066649</c:v>
                </c:pt>
                <c:pt idx="91">
                  <c:v>712.60105917771659</c:v>
                </c:pt>
                <c:pt idx="92">
                  <c:v>725.951487545752</c:v>
                </c:pt>
                <c:pt idx="93">
                  <c:v>739.29691040004309</c:v>
                </c:pt>
                <c:pt idx="94">
                  <c:v>752.63743076999765</c:v>
                </c:pt>
                <c:pt idx="95">
                  <c:v>765.97314773736298</c:v>
                </c:pt>
                <c:pt idx="96">
                  <c:v>779.30415665500334</c:v>
                </c:pt>
                <c:pt idx="97">
                  <c:v>792.63054934994216</c:v>
                </c:pt>
                <c:pt idx="98">
                  <c:v>805.95241431204943</c:v>
                </c:pt>
                <c:pt idx="99">
                  <c:v>819.26983686961796</c:v>
                </c:pt>
                <c:pt idx="100">
                  <c:v>832.58289935293749</c:v>
                </c:pt>
                <c:pt idx="101">
                  <c:v>844.31289448954965</c:v>
                </c:pt>
                <c:pt idx="102">
                  <c:v>856.03961722513759</c:v>
                </c:pt>
                <c:pt idx="103">
                  <c:v>867.76311867165805</c:v>
                </c:pt>
                <c:pt idx="104">
                  <c:v>879.48344844849532</c:v>
                </c:pt>
                <c:pt idx="105">
                  <c:v>891.20065474576961</c:v>
                </c:pt>
                <c:pt idx="106">
                  <c:v>902.91478438414788</c:v>
                </c:pt>
                <c:pt idx="107">
                  <c:v>914.62588287138863</c:v>
                </c:pt>
                <c:pt idx="108">
                  <c:v>926.33399445584871</c:v>
                </c:pt>
                <c:pt idx="109">
                  <c:v>938.03916217714016</c:v>
                </c:pt>
                <c:pt idx="110">
                  <c:v>949.74142791413612</c:v>
                </c:pt>
                <c:pt idx="111">
                  <c:v>720.74768439099068</c:v>
                </c:pt>
                <c:pt idx="112">
                  <c:v>730.92832656071721</c:v>
                </c:pt>
                <c:pt idx="113">
                  <c:v>741.10607958467199</c:v>
                </c:pt>
                <c:pt idx="114">
                  <c:v>751.28098871588327</c:v>
                </c:pt>
                <c:pt idx="115">
                  <c:v>761.45309788222528</c:v>
                </c:pt>
                <c:pt idx="116">
                  <c:v>771.62244974278258</c:v>
                </c:pt>
                <c:pt idx="117">
                  <c:v>781.78908574108516</c:v>
                </c:pt>
                <c:pt idx="118">
                  <c:v>791.95304615543694</c:v>
                </c:pt>
                <c:pt idx="119">
                  <c:v>802.11437014652483</c:v>
                </c:pt>
                <c:pt idx="120">
                  <c:v>812.27309580249357</c:v>
                </c:pt>
                <c:pt idx="121">
                  <c:v>821.75226151221102</c:v>
                </c:pt>
                <c:pt idx="122">
                  <c:v>831.2292254256804</c:v>
                </c:pt>
                <c:pt idx="123">
                  <c:v>840.7040161706185</c:v>
                </c:pt>
                <c:pt idx="124">
                  <c:v>850.17666167722484</c:v>
                </c:pt>
                <c:pt idx="125">
                  <c:v>859.64718920292319</c:v>
                </c:pt>
                <c:pt idx="126">
                  <c:v>869.11562535595624</c:v>
                </c:pt>
                <c:pt idx="127">
                  <c:v>878.5819961179003</c:v>
                </c:pt>
                <c:pt idx="128">
                  <c:v>888.04632686515822</c:v>
                </c:pt>
                <c:pt idx="129">
                  <c:v>897.50864238948998</c:v>
                </c:pt>
                <c:pt idx="130">
                  <c:v>906.9689669176347</c:v>
                </c:pt>
                <c:pt idx="131">
                  <c:v>710.11143407886391</c:v>
                </c:pt>
                <c:pt idx="132">
                  <c:v>718.71120518049167</c:v>
                </c:pt>
                <c:pt idx="133">
                  <c:v>727.30887606576096</c:v>
                </c:pt>
                <c:pt idx="134">
                  <c:v>735.90447505515885</c:v>
                </c:pt>
                <c:pt idx="135">
                  <c:v>744.49802975383579</c:v>
                </c:pt>
                <c:pt idx="136">
                  <c:v>753.08956707789741</c:v>
                </c:pt>
                <c:pt idx="137">
                  <c:v>761.67911327943602</c:v>
                </c:pt>
                <c:pt idx="138">
                  <c:v>770.26669397037347</c:v>
                </c:pt>
                <c:pt idx="139">
                  <c:v>778.85233414518734</c:v>
                </c:pt>
                <c:pt idx="140">
                  <c:v>787.43605820258335</c:v>
                </c:pt>
                <c:pt idx="141">
                  <c:v>795.3404451858396</c:v>
                </c:pt>
                <c:pt idx="142">
                  <c:v>803.24324506794221</c:v>
                </c:pt>
                <c:pt idx="143">
                  <c:v>811.14447565929538</c:v>
                </c:pt>
                <c:pt idx="144">
                  <c:v>819.04415439517004</c:v>
                </c:pt>
                <c:pt idx="145">
                  <c:v>826.94229834722648</c:v>
                </c:pt>
                <c:pt idx="146">
                  <c:v>834.8389242345703</c:v>
                </c:pt>
                <c:pt idx="147">
                  <c:v>842.73404843437027</c:v>
                </c:pt>
                <c:pt idx="148">
                  <c:v>850.62768699205628</c:v>
                </c:pt>
                <c:pt idx="149">
                  <c:v>858.51985563112385</c:v>
                </c:pt>
                <c:pt idx="150">
                  <c:v>866.41056976255186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03487040"/>
        <c:axId val="1203476704"/>
      </c:scatterChart>
      <c:valAx>
        <c:axId val="120348704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203476704"/>
        <c:crosses val="autoZero"/>
        <c:crossBetween val="midCat"/>
      </c:valAx>
      <c:valAx>
        <c:axId val="12034767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20348704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3.0295791840646493</c:v>
                </c:pt>
                <c:pt idx="2">
                  <c:v>3.725679628308781</c:v>
                </c:pt>
                <c:pt idx="3">
                  <c:v>4.5823279764895188</c:v>
                </c:pt>
                <c:pt idx="4">
                  <c:v>5.6366846031435918</c:v>
                </c:pt>
                <c:pt idx="5">
                  <c:v>6.9345395434073795</c:v>
                </c:pt>
                <c:pt idx="6">
                  <c:v>8.5323226929264795</c:v>
                </c:pt>
                <c:pt idx="7">
                  <c:v>10.499583588970779</c:v>
                </c:pt>
                <c:pt idx="8">
                  <c:v>12.922050750342303</c:v>
                </c:pt>
                <c:pt idx="9">
                  <c:v>15.905406371467258</c:v>
                </c:pt>
                <c:pt idx="10">
                  <c:v>19.579944057664719</c:v>
                </c:pt>
                <c:pt idx="11">
                  <c:v>24.106316685632123</c:v>
                </c:pt>
                <c:pt idx="12">
                  <c:v>29.682630145368211</c:v>
                </c:pt>
                <c:pt idx="13">
                  <c:v>36.553198854731285</c:v>
                </c:pt>
                <c:pt idx="14">
                  <c:v>45.01935324011523</c:v>
                </c:pt>
                <c:pt idx="15">
                  <c:v>55.452781189967119</c:v>
                </c:pt>
                <c:pt idx="16">
                  <c:v>68.311998946117441</c:v>
                </c:pt>
                <c:pt idx="17">
                  <c:v>84.162687112704418</c:v>
                </c:pt>
                <c:pt idx="18">
                  <c:v>103.70280075437397</c:v>
                </c:pt>
                <c:pt idx="19">
                  <c:v>127.7935767402505</c:v>
                </c:pt>
                <c:pt idx="20">
                  <c:v>157.49782623325171</c:v>
                </c:pt>
                <c:pt idx="21">
                  <c:v>172.61880685670505</c:v>
                </c:pt>
                <c:pt idx="22">
                  <c:v>187.70863707245701</c:v>
                </c:pt>
                <c:pt idx="23">
                  <c:v>202.77017479447795</c:v>
                </c:pt>
                <c:pt idx="24">
                  <c:v>217.80581820310817</c:v>
                </c:pt>
                <c:pt idx="25">
                  <c:v>232.81760702956308</c:v>
                </c:pt>
                <c:pt idx="26">
                  <c:v>181.00569664728371</c:v>
                </c:pt>
                <c:pt idx="27">
                  <c:v>200.26177659150264</c:v>
                </c:pt>
                <c:pt idx="28">
                  <c:v>219.47493841333153</c:v>
                </c:pt>
                <c:pt idx="29">
                  <c:v>238.64946815456821</c:v>
                </c:pt>
                <c:pt idx="30">
                  <c:v>257.78890626510474</c:v>
                </c:pt>
                <c:pt idx="31">
                  <c:v>280.21615005760458</c:v>
                </c:pt>
                <c:pt idx="32">
                  <c:v>302.60315205267642</c:v>
                </c:pt>
                <c:pt idx="33">
                  <c:v>324.95330656071559</c:v>
                </c:pt>
                <c:pt idx="34">
                  <c:v>347.26950287262474</c:v>
                </c:pt>
                <c:pt idx="35">
                  <c:v>369.55422870449644</c:v>
                </c:pt>
                <c:pt idx="36">
                  <c:v>276.89622424264081</c:v>
                </c:pt>
                <c:pt idx="37">
                  <c:v>300.11758429718867</c:v>
                </c:pt>
                <c:pt idx="38">
                  <c:v>323.29893699066071</c:v>
                </c:pt>
                <c:pt idx="39">
                  <c:v>346.44355255688725</c:v>
                </c:pt>
                <c:pt idx="40">
                  <c:v>369.55422870449632</c:v>
                </c:pt>
                <c:pt idx="41">
                  <c:v>393.04523943920964</c:v>
                </c:pt>
                <c:pt idx="42">
                  <c:v>416.50581806048382</c:v>
                </c:pt>
                <c:pt idx="43">
                  <c:v>439.93791831951495</c:v>
                </c:pt>
                <c:pt idx="44">
                  <c:v>463.34326900875232</c:v>
                </c:pt>
                <c:pt idx="45">
                  <c:v>486.72341015001939</c:v>
                </c:pt>
                <c:pt idx="46">
                  <c:v>394.28074727616132</c:v>
                </c:pt>
                <c:pt idx="47">
                  <c:v>416.9171476106103</c:v>
                </c:pt>
                <c:pt idx="48">
                  <c:v>439.52706413119489</c:v>
                </c:pt>
                <c:pt idx="49">
                  <c:v>462.11204968448243</c:v>
                </c:pt>
                <c:pt idx="50">
                  <c:v>484.67349306043207</c:v>
                </c:pt>
                <c:pt idx="51">
                  <c:v>505.5741589882723</c:v>
                </c:pt>
                <c:pt idx="52">
                  <c:v>526.45656094055948</c:v>
                </c:pt>
                <c:pt idx="53">
                  <c:v>547.32152470399308</c:v>
                </c:pt>
                <c:pt idx="54">
                  <c:v>568.16980802286537</c:v>
                </c:pt>
                <c:pt idx="55">
                  <c:v>589.00210854701277</c:v>
                </c:pt>
                <c:pt idx="56">
                  <c:v>493.69176260852379</c:v>
                </c:pt>
                <c:pt idx="57">
                  <c:v>512.94645994076382</c:v>
                </c:pt>
                <c:pt idx="58">
                  <c:v>532.18590126973982</c:v>
                </c:pt>
                <c:pt idx="59">
                  <c:v>551.41071534837477</c:v>
                </c:pt>
                <c:pt idx="60">
                  <c:v>570.62148354470401</c:v>
                </c:pt>
                <c:pt idx="61">
                  <c:v>588.59378151919873</c:v>
                </c:pt>
                <c:pt idx="62">
                  <c:v>606.55465432493395</c:v>
                </c:pt>
                <c:pt idx="63">
                  <c:v>624.504487652433</c:v>
                </c:pt>
                <c:pt idx="64">
                  <c:v>642.44364323070261</c:v>
                </c:pt>
                <c:pt idx="65">
                  <c:v>660.3724609570171</c:v>
                </c:pt>
                <c:pt idx="66">
                  <c:v>562.85708424728386</c:v>
                </c:pt>
                <c:pt idx="67">
                  <c:v>579.60908578354815</c:v>
                </c:pt>
                <c:pt idx="68">
                  <c:v>596.35099138861813</c:v>
                </c:pt>
                <c:pt idx="69">
                  <c:v>613.08312422226595</c:v>
                </c:pt>
                <c:pt idx="70">
                  <c:v>629.80578837901965</c:v>
                </c:pt>
                <c:pt idx="71">
                  <c:v>645.2966381487488</c:v>
                </c:pt>
                <c:pt idx="72">
                  <c:v>660.77981648497882</c:v>
                </c:pt>
                <c:pt idx="73">
                  <c:v>676.25552834120583</c:v>
                </c:pt>
                <c:pt idx="74">
                  <c:v>691.72396853231078</c:v>
                </c:pt>
                <c:pt idx="75">
                  <c:v>707.18532245626284</c:v>
                </c:pt>
                <c:pt idx="76">
                  <c:v>607.77885306593191</c:v>
                </c:pt>
                <c:pt idx="77">
                  <c:v>622.4652781759479</c:v>
                </c:pt>
                <c:pt idx="78">
                  <c:v>637.1445290217099</c:v>
                </c:pt>
                <c:pt idx="79">
                  <c:v>651.81679408188654</c:v>
                </c:pt>
                <c:pt idx="80">
                  <c:v>666.48225266324471</c:v>
                </c:pt>
                <c:pt idx="81">
                  <c:v>679.91975639292957</c:v>
                </c:pt>
                <c:pt idx="82">
                  <c:v>693.35181003961088</c:v>
                </c:pt>
                <c:pt idx="83">
                  <c:v>706.77853400111223</c:v>
                </c:pt>
                <c:pt idx="84">
                  <c:v>720.20004373069298</c:v>
                </c:pt>
                <c:pt idx="85">
                  <c:v>733.61645003038905</c:v>
                </c:pt>
                <c:pt idx="86">
                  <c:v>747.02785932179313</c:v>
                </c:pt>
                <c:pt idx="87">
                  <c:v>760.4343738963945</c:v>
                </c:pt>
                <c:pt idx="88">
                  <c:v>773.83609214735907</c:v>
                </c:pt>
                <c:pt idx="89">
                  <c:v>787.23310878443408</c:v>
                </c:pt>
                <c:pt idx="90">
                  <c:v>800.62551503347186</c:v>
                </c:pt>
                <c:pt idx="91">
                  <c:v>641.83225318617042</c:v>
                </c:pt>
                <c:pt idx="92">
                  <c:v>653.85406638827408</c:v>
                </c:pt>
                <c:pt idx="93">
                  <c:v>665.87132552880155</c:v>
                </c:pt>
                <c:pt idx="94">
                  <c:v>677.88412434483791</c:v>
                </c:pt>
                <c:pt idx="95">
                  <c:v>689.89255298185105</c:v>
                </c:pt>
                <c:pt idx="96">
                  <c:v>701.89669819273695</c:v>
                </c:pt>
                <c:pt idx="97">
                  <c:v>713.89664352255079</c:v>
                </c:pt>
                <c:pt idx="98">
                  <c:v>725.89246948017455</c:v>
                </c:pt>
                <c:pt idx="99">
                  <c:v>737.88425369805907</c:v>
                </c:pt>
                <c:pt idx="100">
                  <c:v>749.87207108104519</c:v>
                </c:pt>
                <c:pt idx="101">
                  <c:v>760.43437389639394</c:v>
                </c:pt>
                <c:pt idx="102">
                  <c:v>770.99369945175965</c:v>
                </c:pt>
                <c:pt idx="103">
                  <c:v>781.55009424926186</c:v>
                </c:pt>
                <c:pt idx="104">
                  <c:v>792.10360343306365</c:v>
                </c:pt>
                <c:pt idx="105">
                  <c:v>802.65427084697183</c:v>
                </c:pt>
                <c:pt idx="106">
                  <c:v>813.2021390888516</c:v>
                </c:pt>
                <c:pt idx="107">
                  <c:v>823.74724956207217</c:v>
                </c:pt>
                <c:pt idx="108">
                  <c:v>834.28964252418791</c:v>
                </c:pt>
                <c:pt idx="109">
                  <c:v>844.82935713302641</c:v>
                </c:pt>
                <c:pt idx="110">
                  <c:v>855.36643149036433</c:v>
                </c:pt>
                <c:pt idx="111">
                  <c:v>649.16814374322746</c:v>
                </c:pt>
                <c:pt idx="112">
                  <c:v>658.33560563795163</c:v>
                </c:pt>
                <c:pt idx="113">
                  <c:v>667.50043896178022</c:v>
                </c:pt>
                <c:pt idx="114">
                  <c:v>676.66268488632613</c:v>
                </c:pt>
                <c:pt idx="115">
                  <c:v>685.82238337756644</c:v>
                </c:pt>
                <c:pt idx="116">
                  <c:v>694.97957324712058</c:v>
                </c:pt>
                <c:pt idx="117">
                  <c:v>704.13429220068656</c:v>
                </c:pt>
                <c:pt idx="118">
                  <c:v>713.28657688382884</c:v>
                </c:pt>
                <c:pt idx="119">
                  <c:v>722.43646292529365</c:v>
                </c:pt>
                <c:pt idx="120">
                  <c:v>731.58398497801829</c:v>
                </c:pt>
                <c:pt idx="121">
                  <c:v>740.11956914072152</c:v>
                </c:pt>
                <c:pt idx="122">
                  <c:v>748.65315008932919</c:v>
                </c:pt>
                <c:pt idx="123">
                  <c:v>757.18475386959517</c:v>
                </c:pt>
                <c:pt idx="124">
                  <c:v>765.71440589266729</c:v>
                </c:pt>
                <c:pt idx="125">
                  <c:v>774.24213095759603</c:v>
                </c:pt>
                <c:pt idx="126">
                  <c:v>782.76795327280058</c:v>
                </c:pt>
                <c:pt idx="127">
                  <c:v>791.29189647655346</c:v>
                </c:pt>
                <c:pt idx="128">
                  <c:v>799.81398365653479</c:v>
                </c:pt>
                <c:pt idx="129">
                  <c:v>808.33423736851239</c:v>
                </c:pt>
                <c:pt idx="130">
                  <c:v>816.85267965419155</c:v>
                </c:pt>
                <c:pt idx="131">
                  <c:v>639.59038670342318</c:v>
                </c:pt>
                <c:pt idx="132">
                  <c:v>647.33433222460849</c:v>
                </c:pt>
                <c:pt idx="133">
                  <c:v>655.07636694999781</c:v>
                </c:pt>
                <c:pt idx="134">
                  <c:v>662.81651664582557</c:v>
                </c:pt>
                <c:pt idx="135">
                  <c:v>670.55480642750706</c:v>
                </c:pt>
                <c:pt idx="136">
                  <c:v>678.29126078355807</c:v>
                </c:pt>
                <c:pt idx="137">
                  <c:v>686.02590359836915</c:v>
                </c:pt>
                <c:pt idx="138">
                  <c:v>693.7587581738976</c:v>
                </c:pt>
                <c:pt idx="139">
                  <c:v>701.48984725034506</c:v>
                </c:pt>
                <c:pt idx="140">
                  <c:v>709.21919302587401</c:v>
                </c:pt>
                <c:pt idx="141">
                  <c:v>716.33680368243961</c:v>
                </c:pt>
                <c:pt idx="142">
                  <c:v>723.45297038005356</c:v>
                </c:pt>
                <c:pt idx="143">
                  <c:v>730.5677093227813</c:v>
                </c:pt>
                <c:pt idx="144">
                  <c:v>737.68103637339038</c:v>
                </c:pt>
                <c:pt idx="145">
                  <c:v>744.79296706383138</c:v>
                </c:pt>
                <c:pt idx="146">
                  <c:v>751.90351660529711</c:v>
                </c:pt>
                <c:pt idx="147">
                  <c:v>759.01269989788318</c:v>
                </c:pt>
                <c:pt idx="148">
                  <c:v>766.12053153986801</c:v>
                </c:pt>
                <c:pt idx="149">
                  <c:v>773.22702583662794</c:v>
                </c:pt>
                <c:pt idx="150">
                  <c:v>780.33219680921172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03489760"/>
        <c:axId val="1203488672"/>
      </c:scatterChart>
      <c:valAx>
        <c:axId val="12034897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203488672"/>
        <c:crosses val="autoZero"/>
        <c:crossBetween val="midCat"/>
      </c:valAx>
      <c:valAx>
        <c:axId val="12034886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2034897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2.5380918812887914</c:v>
                </c:pt>
                <c:pt idx="2">
                  <c:v>3.2168218116837237</c:v>
                </c:pt>
                <c:pt idx="3">
                  <c:v>4.0777698035291934</c:v>
                </c:pt>
                <c:pt idx="4">
                  <c:v>5.1700364339554419</c:v>
                </c:pt>
                <c:pt idx="5">
                  <c:v>6.5559984815227494</c:v>
                </c:pt>
                <c:pt idx="6">
                  <c:v>8.3149100852329703</c:v>
                </c:pt>
                <c:pt idx="7">
                  <c:v>10.54748357687275</c:v>
                </c:pt>
                <c:pt idx="8">
                  <c:v>13.381717214799407</c:v>
                </c:pt>
                <c:pt idx="9">
                  <c:v>16.980310117401761</c:v>
                </c:pt>
                <c:pt idx="10">
                  <c:v>21.550097788741649</c:v>
                </c:pt>
                <c:pt idx="11">
                  <c:v>27.354060245633761</c:v>
                </c:pt>
                <c:pt idx="12">
                  <c:v>34.726605905427995</c:v>
                </c:pt>
                <c:pt idx="13">
                  <c:v>44.093027016943331</c:v>
                </c:pt>
                <c:pt idx="14">
                  <c:v>55.994267914108548</c:v>
                </c:pt>
                <c:pt idx="15">
                  <c:v>71.118460282851473</c:v>
                </c:pt>
                <c:pt idx="16">
                  <c:v>87.672415653160499</c:v>
                </c:pt>
                <c:pt idx="17">
                  <c:v>104.14760645595801</c:v>
                </c:pt>
                <c:pt idx="18">
                  <c:v>120.55829551377816</c:v>
                </c:pt>
                <c:pt idx="19">
                  <c:v>136.9145198877824</c:v>
                </c:pt>
                <c:pt idx="20">
                  <c:v>153.22371186614834</c:v>
                </c:pt>
                <c:pt idx="21">
                  <c:v>171.18397278750868</c:v>
                </c:pt>
                <c:pt idx="22">
                  <c:v>189.09987078266826</c:v>
                </c:pt>
                <c:pt idx="23">
                  <c:v>206.97620217195148</c:v>
                </c:pt>
                <c:pt idx="24">
                  <c:v>224.81686592693052</c:v>
                </c:pt>
                <c:pt idx="25">
                  <c:v>242.62509103866606</c:v>
                </c:pt>
                <c:pt idx="26">
                  <c:v>169.32232688472158</c:v>
                </c:pt>
                <c:pt idx="27">
                  <c:v>188.76221470729047</c:v>
                </c:pt>
                <c:pt idx="28">
                  <c:v>208.15542061438953</c:v>
                </c:pt>
                <c:pt idx="29">
                  <c:v>227.50690659831912</c:v>
                </c:pt>
                <c:pt idx="30">
                  <c:v>246.82072062447358</c:v>
                </c:pt>
                <c:pt idx="31">
                  <c:v>266.10022493300397</c:v>
                </c:pt>
                <c:pt idx="32">
                  <c:v>224.98501498915437</c:v>
                </c:pt>
                <c:pt idx="33">
                  <c:v>244.30353923844871</c:v>
                </c:pt>
                <c:pt idx="34">
                  <c:v>263.58734797276014</c:v>
                </c:pt>
                <c:pt idx="35">
                  <c:v>282.83933776674911</c:v>
                </c:pt>
                <c:pt idx="36">
                  <c:v>302.06197856553018</c:v>
                </c:pt>
                <c:pt idx="37">
                  <c:v>321.25740024962437</c:v>
                </c:pt>
                <c:pt idx="38">
                  <c:v>279.73236813579507</c:v>
                </c:pt>
                <c:pt idx="39">
                  <c:v>298.36290228402572</c:v>
                </c:pt>
                <c:pt idx="40">
                  <c:v>316.96751977104663</c:v>
                </c:pt>
                <c:pt idx="41">
                  <c:v>335.54795535646372</c:v>
                </c:pt>
                <c:pt idx="42">
                  <c:v>354.10573601815048</c:v>
                </c:pt>
                <c:pt idx="43">
                  <c:v>372.64221565134471</c:v>
                </c:pt>
                <c:pt idx="44">
                  <c:v>391.15860250001066</c:v>
                </c:pt>
                <c:pt idx="45">
                  <c:v>336.88699770815003</c:v>
                </c:pt>
                <c:pt idx="46">
                  <c:v>354.16518115704031</c:v>
                </c:pt>
                <c:pt idx="47">
                  <c:v>371.42490308727605</c:v>
                </c:pt>
                <c:pt idx="48">
                  <c:v>388.66714186934956</c:v>
                </c:pt>
                <c:pt idx="49">
                  <c:v>405.89278200614257</c:v>
                </c:pt>
                <c:pt idx="50">
                  <c:v>423.1026268227929</c:v>
                </c:pt>
                <c:pt idx="51">
                  <c:v>440.29740898417259</c:v>
                </c:pt>
                <c:pt idx="52">
                  <c:v>457.47779928386598</c:v>
                </c:pt>
                <c:pt idx="53">
                  <c:v>393.44213889474253</c:v>
                </c:pt>
                <c:pt idx="54">
                  <c:v>409.00414204035161</c:v>
                </c:pt>
                <c:pt idx="55">
                  <c:v>424.55336102424576</c:v>
                </c:pt>
                <c:pt idx="56">
                  <c:v>440.09032987714431</c:v>
                </c:pt>
                <c:pt idx="57">
                  <c:v>455.61554185670815</c:v>
                </c:pt>
                <c:pt idx="58">
                  <c:v>471.12945387268002</c:v>
                </c:pt>
                <c:pt idx="59">
                  <c:v>486.63249029889352</c:v>
                </c:pt>
                <c:pt idx="60">
                  <c:v>502.12504627431412</c:v>
                </c:pt>
                <c:pt idx="61">
                  <c:v>438.70974904240546</c:v>
                </c:pt>
                <c:pt idx="62">
                  <c:v>453.06329508642131</c:v>
                </c:pt>
                <c:pt idx="63">
                  <c:v>467.40712233198587</c:v>
                </c:pt>
                <c:pt idx="64">
                  <c:v>481.74157097323291</c:v>
                </c:pt>
                <c:pt idx="65">
                  <c:v>496.06695931286299</c:v>
                </c:pt>
                <c:pt idx="66">
                  <c:v>510.38358577553487</c:v>
                </c:pt>
                <c:pt idx="67">
                  <c:v>524.69173068364421</c:v>
                </c:pt>
                <c:pt idx="68">
                  <c:v>538.99165782937473</c:v>
                </c:pt>
                <c:pt idx="69">
                  <c:v>553.28361587129064</c:v>
                </c:pt>
                <c:pt idx="70">
                  <c:v>2.5073107750038623E-12</c:v>
                </c:pt>
                <c:pt idx="71">
                  <c:v>2.5073107750038623E-12</c:v>
                </c:pt>
                <c:pt idx="72">
                  <c:v>2.5073107750038623E-12</c:v>
                </c:pt>
                <c:pt idx="73">
                  <c:v>2.5073107750038623E-12</c:v>
                </c:pt>
                <c:pt idx="74">
                  <c:v>2.5073107750038623E-12</c:v>
                </c:pt>
                <c:pt idx="75">
                  <c:v>2.5073107750038623E-12</c:v>
                </c:pt>
                <c:pt idx="76">
                  <c:v>2.5073107750038623E-12</c:v>
                </c:pt>
                <c:pt idx="77">
                  <c:v>2.5073107750038623E-12</c:v>
                </c:pt>
                <c:pt idx="78">
                  <c:v>2.5073107750038623E-12</c:v>
                </c:pt>
                <c:pt idx="79">
                  <c:v>2.5073107750038623E-12</c:v>
                </c:pt>
                <c:pt idx="80">
                  <c:v>2.5073107750038623E-12</c:v>
                </c:pt>
                <c:pt idx="81">
                  <c:v>2.5073107750038623E-12</c:v>
                </c:pt>
                <c:pt idx="82">
                  <c:v>2.5073107750038623E-12</c:v>
                </c:pt>
                <c:pt idx="83">
                  <c:v>2.5073107750038623E-12</c:v>
                </c:pt>
                <c:pt idx="84">
                  <c:v>2.5073107750038623E-12</c:v>
                </c:pt>
                <c:pt idx="85">
                  <c:v>2.5073107750038623E-12</c:v>
                </c:pt>
                <c:pt idx="86">
                  <c:v>2.5073107750038623E-12</c:v>
                </c:pt>
                <c:pt idx="87">
                  <c:v>2.5073107750038623E-12</c:v>
                </c:pt>
                <c:pt idx="88">
                  <c:v>2.5073107750038623E-12</c:v>
                </c:pt>
                <c:pt idx="89">
                  <c:v>2.5073107750038623E-12</c:v>
                </c:pt>
                <c:pt idx="90">
                  <c:v>2.5073107750038623E-12</c:v>
                </c:pt>
                <c:pt idx="91">
                  <c:v>2.5073107750038623E-12</c:v>
                </c:pt>
                <c:pt idx="92">
                  <c:v>2.5073107750038623E-12</c:v>
                </c:pt>
                <c:pt idx="93">
                  <c:v>2.5073107750038623E-12</c:v>
                </c:pt>
                <c:pt idx="94">
                  <c:v>2.5073107750038623E-12</c:v>
                </c:pt>
                <c:pt idx="95">
                  <c:v>2.5073107750038623E-12</c:v>
                </c:pt>
                <c:pt idx="96">
                  <c:v>2.5073107750038623E-12</c:v>
                </c:pt>
                <c:pt idx="97">
                  <c:v>2.5073107750038623E-12</c:v>
                </c:pt>
                <c:pt idx="98">
                  <c:v>2.5073107750038623E-12</c:v>
                </c:pt>
                <c:pt idx="99">
                  <c:v>2.5073107750038623E-12</c:v>
                </c:pt>
                <c:pt idx="100">
                  <c:v>2.5073107750038623E-12</c:v>
                </c:pt>
                <c:pt idx="101">
                  <c:v>2.5073107750038623E-12</c:v>
                </c:pt>
                <c:pt idx="102">
                  <c:v>2.5073107750038623E-12</c:v>
                </c:pt>
                <c:pt idx="103">
                  <c:v>2.5073107750038623E-12</c:v>
                </c:pt>
                <c:pt idx="104">
                  <c:v>2.5073107750038623E-12</c:v>
                </c:pt>
                <c:pt idx="105">
                  <c:v>2.5073107750038623E-12</c:v>
                </c:pt>
                <c:pt idx="106">
                  <c:v>2.5073107750038623E-12</c:v>
                </c:pt>
                <c:pt idx="107">
                  <c:v>2.5073107750038623E-12</c:v>
                </c:pt>
                <c:pt idx="108">
                  <c:v>2.5073107750038623E-12</c:v>
                </c:pt>
                <c:pt idx="109">
                  <c:v>2.5073107750038623E-12</c:v>
                </c:pt>
                <c:pt idx="110">
                  <c:v>2.5073107750038623E-12</c:v>
                </c:pt>
                <c:pt idx="111">
                  <c:v>2.5073107750038623E-12</c:v>
                </c:pt>
                <c:pt idx="112">
                  <c:v>2.5073107750038623E-12</c:v>
                </c:pt>
                <c:pt idx="113">
                  <c:v>2.5073107750038623E-12</c:v>
                </c:pt>
                <c:pt idx="114">
                  <c:v>2.5073107750038623E-12</c:v>
                </c:pt>
                <c:pt idx="115">
                  <c:v>2.5073107750038623E-12</c:v>
                </c:pt>
                <c:pt idx="116">
                  <c:v>2.5073107750038623E-12</c:v>
                </c:pt>
                <c:pt idx="117">
                  <c:v>2.5073107750038623E-12</c:v>
                </c:pt>
                <c:pt idx="118">
                  <c:v>2.5073107750038623E-12</c:v>
                </c:pt>
                <c:pt idx="119">
                  <c:v>2.5073107750038623E-12</c:v>
                </c:pt>
                <c:pt idx="120">
                  <c:v>2.5073107750038623E-12</c:v>
                </c:pt>
                <c:pt idx="121">
                  <c:v>2.5073107750038623E-12</c:v>
                </c:pt>
                <c:pt idx="122">
                  <c:v>2.5073107750038623E-12</c:v>
                </c:pt>
                <c:pt idx="123">
                  <c:v>2.5073107750038623E-12</c:v>
                </c:pt>
                <c:pt idx="124">
                  <c:v>2.5073107750038623E-12</c:v>
                </c:pt>
                <c:pt idx="125">
                  <c:v>2.5073107750038623E-12</c:v>
                </c:pt>
                <c:pt idx="126">
                  <c:v>2.5073107750038623E-12</c:v>
                </c:pt>
                <c:pt idx="127">
                  <c:v>2.5073107750038623E-12</c:v>
                </c:pt>
                <c:pt idx="128">
                  <c:v>2.5073107750038623E-12</c:v>
                </c:pt>
                <c:pt idx="129">
                  <c:v>2.5073107750038623E-12</c:v>
                </c:pt>
                <c:pt idx="130">
                  <c:v>2.5073107750038623E-12</c:v>
                </c:pt>
                <c:pt idx="131">
                  <c:v>2.5073107750038623E-12</c:v>
                </c:pt>
                <c:pt idx="132">
                  <c:v>2.5073107750038623E-12</c:v>
                </c:pt>
                <c:pt idx="133">
                  <c:v>2.5073107750038623E-12</c:v>
                </c:pt>
                <c:pt idx="134">
                  <c:v>2.5073107750038623E-12</c:v>
                </c:pt>
                <c:pt idx="135">
                  <c:v>2.5073107750038623E-12</c:v>
                </c:pt>
                <c:pt idx="136">
                  <c:v>2.5073107750038623E-12</c:v>
                </c:pt>
                <c:pt idx="137">
                  <c:v>2.5073107750038623E-12</c:v>
                </c:pt>
                <c:pt idx="138">
                  <c:v>2.5073107750038623E-12</c:v>
                </c:pt>
                <c:pt idx="139">
                  <c:v>2.5073107750038623E-12</c:v>
                </c:pt>
                <c:pt idx="140">
                  <c:v>2.5073107750038623E-12</c:v>
                </c:pt>
                <c:pt idx="141">
                  <c:v>2.5073107750038623E-12</c:v>
                </c:pt>
                <c:pt idx="142">
                  <c:v>2.5073107750038623E-12</c:v>
                </c:pt>
                <c:pt idx="143">
                  <c:v>2.5073107750038623E-12</c:v>
                </c:pt>
                <c:pt idx="144">
                  <c:v>2.5073107750038623E-12</c:v>
                </c:pt>
                <c:pt idx="145">
                  <c:v>2.5073107750038623E-12</c:v>
                </c:pt>
                <c:pt idx="146">
                  <c:v>2.5073107750038623E-12</c:v>
                </c:pt>
                <c:pt idx="147">
                  <c:v>2.5073107750038623E-12</c:v>
                </c:pt>
                <c:pt idx="148">
                  <c:v>2.5073107750038623E-12</c:v>
                </c:pt>
                <c:pt idx="149">
                  <c:v>2.5073107750038623E-12</c:v>
                </c:pt>
                <c:pt idx="150">
                  <c:v>2.5073107750038623E-12</c:v>
                </c:pt>
                <c:pt idx="151">
                  <c:v>2.5073107750038623E-12</c:v>
                </c:pt>
                <c:pt idx="152">
                  <c:v>2.5073107750038623E-12</c:v>
                </c:pt>
                <c:pt idx="153">
                  <c:v>2.5073107750038623E-12</c:v>
                </c:pt>
                <c:pt idx="154">
                  <c:v>2.5073107750038623E-12</c:v>
                </c:pt>
                <c:pt idx="155">
                  <c:v>2.5073107750038623E-12</c:v>
                </c:pt>
                <c:pt idx="156">
                  <c:v>2.5073107750038623E-12</c:v>
                </c:pt>
                <c:pt idx="157">
                  <c:v>2.5073107750038623E-12</c:v>
                </c:pt>
                <c:pt idx="158">
                  <c:v>2.5073107750038623E-12</c:v>
                </c:pt>
                <c:pt idx="159">
                  <c:v>2.5073107750038623E-12</c:v>
                </c:pt>
                <c:pt idx="160">
                  <c:v>2.5073107750038623E-12</c:v>
                </c:pt>
                <c:pt idx="161">
                  <c:v>2.5073107750038623E-12</c:v>
                </c:pt>
                <c:pt idx="162">
                  <c:v>2.5073107750038623E-12</c:v>
                </c:pt>
                <c:pt idx="163">
                  <c:v>2.5073107750038623E-12</c:v>
                </c:pt>
                <c:pt idx="164">
                  <c:v>2.5073107750038623E-12</c:v>
                </c:pt>
                <c:pt idx="165">
                  <c:v>2.5073107750038623E-12</c:v>
                </c:pt>
                <c:pt idx="166">
                  <c:v>2.5073107750038623E-12</c:v>
                </c:pt>
                <c:pt idx="167">
                  <c:v>2.5073107750038623E-12</c:v>
                </c:pt>
                <c:pt idx="168">
                  <c:v>2.5073107750038623E-12</c:v>
                </c:pt>
                <c:pt idx="169">
                  <c:v>2.5073107750038623E-12</c:v>
                </c:pt>
                <c:pt idx="170">
                  <c:v>2.5073107750038623E-12</c:v>
                </c:pt>
                <c:pt idx="171">
                  <c:v>2.5073107750038623E-12</c:v>
                </c:pt>
                <c:pt idx="172">
                  <c:v>2.5073107750038623E-12</c:v>
                </c:pt>
                <c:pt idx="173">
                  <c:v>2.5073107750038623E-12</c:v>
                </c:pt>
                <c:pt idx="174">
                  <c:v>2.5073107750038623E-12</c:v>
                </c:pt>
                <c:pt idx="175">
                  <c:v>2.5073107750038623E-12</c:v>
                </c:pt>
                <c:pt idx="176">
                  <c:v>2.5073107750038623E-12</c:v>
                </c:pt>
                <c:pt idx="177">
                  <c:v>2.5073107750038623E-12</c:v>
                </c:pt>
                <c:pt idx="178">
                  <c:v>2.5073107750038623E-12</c:v>
                </c:pt>
                <c:pt idx="179">
                  <c:v>2.5073107750038623E-12</c:v>
                </c:pt>
                <c:pt idx="180">
                  <c:v>2.5073107750038623E-12</c:v>
                </c:pt>
                <c:pt idx="181">
                  <c:v>2.5073107750038623E-12</c:v>
                </c:pt>
                <c:pt idx="182">
                  <c:v>2.5073107750038623E-12</c:v>
                </c:pt>
                <c:pt idx="183">
                  <c:v>2.5073107750038623E-12</c:v>
                </c:pt>
                <c:pt idx="184">
                  <c:v>2.5073107750038623E-12</c:v>
                </c:pt>
                <c:pt idx="185">
                  <c:v>2.5073107750038623E-12</c:v>
                </c:pt>
                <c:pt idx="186">
                  <c:v>2.5073107750038623E-12</c:v>
                </c:pt>
                <c:pt idx="187">
                  <c:v>2.5073107750038623E-12</c:v>
                </c:pt>
                <c:pt idx="188">
                  <c:v>2.5073107750038623E-12</c:v>
                </c:pt>
                <c:pt idx="189">
                  <c:v>2.5073107750038623E-12</c:v>
                </c:pt>
                <c:pt idx="190">
                  <c:v>2.5073107750038623E-12</c:v>
                </c:pt>
                <c:pt idx="191">
                  <c:v>2.5073107750038623E-12</c:v>
                </c:pt>
                <c:pt idx="192">
                  <c:v>2.5073107750038623E-12</c:v>
                </c:pt>
                <c:pt idx="193">
                  <c:v>2.5073107750038623E-12</c:v>
                </c:pt>
                <c:pt idx="194">
                  <c:v>2.5073107750038623E-12</c:v>
                </c:pt>
                <c:pt idx="195">
                  <c:v>2.5073107750038623E-12</c:v>
                </c:pt>
                <c:pt idx="196">
                  <c:v>2.5073107750038623E-12</c:v>
                </c:pt>
                <c:pt idx="197">
                  <c:v>2.5073107750038623E-12</c:v>
                </c:pt>
                <c:pt idx="198">
                  <c:v>2.5073107750038623E-12</c:v>
                </c:pt>
                <c:pt idx="199">
                  <c:v>2.5073107750038623E-12</c:v>
                </c:pt>
                <c:pt idx="200">
                  <c:v>2.5073107750038623E-12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03482688"/>
        <c:axId val="1203484864"/>
      </c:scatterChart>
      <c:valAx>
        <c:axId val="120348268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203484864"/>
        <c:crosses val="autoZero"/>
        <c:crossBetween val="midCat"/>
      </c:valAx>
      <c:valAx>
        <c:axId val="12034848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20348268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03479968"/>
        <c:axId val="1203477792"/>
      </c:scatterChart>
      <c:valAx>
        <c:axId val="12034799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203477792"/>
        <c:crosses val="autoZero"/>
        <c:crossBetween val="midCat"/>
      </c:valAx>
      <c:valAx>
        <c:axId val="12034777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2034799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03481056"/>
        <c:axId val="1203483232"/>
      </c:scatterChart>
      <c:valAx>
        <c:axId val="1203481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203483232"/>
        <c:crosses val="autoZero"/>
        <c:crossBetween val="midCat"/>
      </c:valAx>
      <c:valAx>
        <c:axId val="120348323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203481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xmlns="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xmlns="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xmlns="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xmlns="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xmlns="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xmlns="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xmlns="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xmlns="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xmlns="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xmlns="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1"/>
  <dimension ref="B12:M31"/>
  <sheetViews>
    <sheetView showGridLines="0" showRowColHeaders="0" zoomScale="80" zoomScaleNormal="80" workbookViewId="0">
      <selection activeCell="B12" sqref="B12:M1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88" t="s">
        <v>291</v>
      </c>
      <c r="C12" s="288"/>
      <c r="D12" s="288"/>
      <c r="E12" s="288"/>
      <c r="F12" s="288"/>
      <c r="G12" s="288"/>
      <c r="H12" s="288"/>
      <c r="I12" s="288"/>
      <c r="J12" s="288"/>
      <c r="K12" s="288"/>
      <c r="L12" s="288"/>
      <c r="M12" s="288"/>
    </row>
    <row r="13" spans="2:13" ht="15" customHeight="1" x14ac:dyDescent="0.25">
      <c r="B13" s="288"/>
      <c r="C13" s="288"/>
      <c r="D13" s="288"/>
      <c r="E13" s="288"/>
      <c r="F13" s="288"/>
      <c r="G13" s="288"/>
      <c r="H13" s="288"/>
      <c r="I13" s="288"/>
      <c r="J13" s="288"/>
      <c r="K13" s="288"/>
      <c r="L13" s="288"/>
      <c r="M13" s="288"/>
    </row>
    <row r="14" spans="2:13" ht="15" customHeight="1" x14ac:dyDescent="0.25">
      <c r="B14" s="288"/>
      <c r="C14" s="288"/>
      <c r="D14" s="288"/>
      <c r="E14" s="288"/>
      <c r="F14" s="288"/>
      <c r="G14" s="288"/>
      <c r="H14" s="288"/>
      <c r="I14" s="288"/>
      <c r="J14" s="288"/>
      <c r="K14" s="288"/>
      <c r="L14" s="288"/>
      <c r="M14" s="288"/>
    </row>
    <row r="15" spans="2:13" ht="18.75" customHeight="1" x14ac:dyDescent="0.25">
      <c r="B15" s="288"/>
      <c r="C15" s="288"/>
      <c r="D15" s="288"/>
      <c r="E15" s="288"/>
      <c r="F15" s="288"/>
      <c r="G15" s="288"/>
      <c r="H15" s="288"/>
      <c r="I15" s="288"/>
      <c r="J15" s="288"/>
      <c r="K15" s="288"/>
      <c r="L15" s="288"/>
      <c r="M15" s="288"/>
    </row>
    <row r="16" spans="2:13" ht="18.75" customHeight="1" x14ac:dyDescent="0.25">
      <c r="B16" s="288"/>
      <c r="C16" s="288"/>
      <c r="D16" s="288"/>
      <c r="E16" s="288"/>
      <c r="F16" s="288"/>
      <c r="G16" s="288"/>
      <c r="H16" s="288"/>
      <c r="I16" s="288"/>
      <c r="J16" s="288"/>
      <c r="K16" s="288"/>
      <c r="L16" s="288"/>
      <c r="M16" s="288"/>
    </row>
    <row r="18" spans="2:13" ht="12" customHeight="1" x14ac:dyDescent="0.25">
      <c r="B18" s="288" t="s">
        <v>292</v>
      </c>
      <c r="C18" s="288"/>
      <c r="D18" s="288"/>
      <c r="E18" s="288"/>
      <c r="F18" s="288"/>
      <c r="G18" s="288"/>
      <c r="H18" s="288"/>
      <c r="I18" s="288"/>
      <c r="J18" s="288"/>
      <c r="K18" s="288"/>
      <c r="L18" s="288"/>
      <c r="M18" s="288"/>
    </row>
    <row r="19" spans="2:13" ht="12" customHeight="1" x14ac:dyDescent="0.25">
      <c r="B19" s="288"/>
      <c r="C19" s="288"/>
      <c r="D19" s="288"/>
      <c r="E19" s="288"/>
      <c r="F19" s="288"/>
      <c r="G19" s="288"/>
      <c r="H19" s="288"/>
      <c r="I19" s="288"/>
      <c r="J19" s="288"/>
      <c r="K19" s="288"/>
      <c r="L19" s="288"/>
      <c r="M19" s="288"/>
    </row>
    <row r="20" spans="2:13" ht="12" customHeight="1" x14ac:dyDescent="0.25">
      <c r="B20" s="288"/>
      <c r="C20" s="288"/>
      <c r="D20" s="288"/>
      <c r="E20" s="288"/>
      <c r="F20" s="288"/>
      <c r="G20" s="288"/>
      <c r="H20" s="288"/>
      <c r="I20" s="288"/>
      <c r="J20" s="288"/>
      <c r="K20" s="288"/>
      <c r="L20" s="288"/>
      <c r="M20" s="288"/>
    </row>
    <row r="21" spans="2:13" ht="12" customHeight="1" x14ac:dyDescent="0.25">
      <c r="B21" s="288"/>
      <c r="C21" s="288"/>
      <c r="D21" s="288"/>
      <c r="E21" s="288"/>
      <c r="F21" s="288"/>
      <c r="G21" s="288"/>
      <c r="H21" s="288"/>
      <c r="I21" s="288"/>
      <c r="J21" s="288"/>
      <c r="K21" s="288"/>
      <c r="L21" s="288"/>
      <c r="M21" s="288"/>
    </row>
    <row r="22" spans="2:13" ht="12" customHeight="1" x14ac:dyDescent="0.25">
      <c r="B22" s="288"/>
      <c r="C22" s="288"/>
      <c r="D22" s="288"/>
      <c r="E22" s="288"/>
      <c r="F22" s="288"/>
      <c r="G22" s="288"/>
      <c r="H22" s="288"/>
      <c r="I22" s="288"/>
      <c r="J22" s="288"/>
      <c r="K22" s="288"/>
      <c r="L22" s="288"/>
      <c r="M22" s="288"/>
    </row>
    <row r="23" spans="2:13" ht="12" customHeight="1" x14ac:dyDescent="0.25">
      <c r="B23" s="288"/>
      <c r="C23" s="288"/>
      <c r="D23" s="288"/>
      <c r="E23" s="288"/>
      <c r="F23" s="288"/>
      <c r="G23" s="288"/>
      <c r="H23" s="288"/>
      <c r="I23" s="288"/>
      <c r="J23" s="288"/>
      <c r="K23" s="288"/>
      <c r="L23" s="288"/>
      <c r="M23" s="288"/>
    </row>
    <row r="24" spans="2:13" ht="12" customHeight="1" x14ac:dyDescent="0.25">
      <c r="B24" s="288"/>
      <c r="C24" s="288"/>
      <c r="D24" s="288"/>
      <c r="E24" s="288"/>
      <c r="F24" s="288"/>
      <c r="G24" s="288"/>
      <c r="H24" s="288"/>
      <c r="I24" s="288"/>
      <c r="J24" s="288"/>
      <c r="K24" s="288"/>
      <c r="L24" s="288"/>
      <c r="M24" s="288"/>
    </row>
    <row r="25" spans="2:13" ht="12" customHeight="1" x14ac:dyDescent="0.25">
      <c r="B25" s="288"/>
      <c r="C25" s="288"/>
      <c r="D25" s="288"/>
      <c r="E25" s="288"/>
      <c r="F25" s="288"/>
      <c r="G25" s="288"/>
      <c r="H25" s="288"/>
      <c r="I25" s="288"/>
      <c r="J25" s="288"/>
      <c r="K25" s="288"/>
      <c r="L25" s="288"/>
      <c r="M25" s="288"/>
    </row>
    <row r="26" spans="2:13" ht="12" customHeight="1" x14ac:dyDescent="0.25">
      <c r="B26" s="288"/>
      <c r="C26" s="288"/>
      <c r="D26" s="288"/>
      <c r="E26" s="288"/>
      <c r="F26" s="288"/>
      <c r="G26" s="288"/>
      <c r="H26" s="288"/>
      <c r="I26" s="288"/>
      <c r="J26" s="288"/>
      <c r="K26" s="288"/>
      <c r="L26" s="288"/>
      <c r="M26" s="288"/>
    </row>
    <row r="27" spans="2:13" ht="12" customHeight="1" x14ac:dyDescent="0.25">
      <c r="B27" s="288"/>
      <c r="C27" s="288"/>
      <c r="D27" s="288"/>
      <c r="E27" s="288"/>
      <c r="F27" s="288"/>
      <c r="G27" s="288"/>
      <c r="H27" s="288"/>
      <c r="I27" s="288"/>
      <c r="J27" s="288"/>
      <c r="K27" s="288"/>
      <c r="L27" s="288"/>
      <c r="M27" s="288"/>
    </row>
    <row r="28" spans="2:13" ht="12" customHeight="1" x14ac:dyDescent="0.25">
      <c r="B28" s="288"/>
      <c r="C28" s="288"/>
      <c r="D28" s="288"/>
      <c r="E28" s="288"/>
      <c r="F28" s="288"/>
      <c r="G28" s="288"/>
      <c r="H28" s="288"/>
      <c r="I28" s="288"/>
      <c r="J28" s="288"/>
      <c r="K28" s="288"/>
      <c r="L28" s="288"/>
      <c r="M28" s="288"/>
    </row>
    <row r="29" spans="2:13" ht="12" customHeight="1" x14ac:dyDescent="0.25">
      <c r="B29" s="288"/>
      <c r="C29" s="288"/>
      <c r="D29" s="288"/>
      <c r="E29" s="288"/>
      <c r="F29" s="288"/>
      <c r="G29" s="288"/>
      <c r="H29" s="288"/>
      <c r="I29" s="288"/>
      <c r="J29" s="288"/>
      <c r="K29" s="288"/>
      <c r="L29" s="288"/>
      <c r="M29" s="288"/>
    </row>
    <row r="30" spans="2:13" ht="12" customHeight="1" x14ac:dyDescent="0.25">
      <c r="B30" s="288"/>
      <c r="C30" s="288"/>
      <c r="D30" s="288"/>
      <c r="E30" s="288"/>
      <c r="F30" s="288"/>
      <c r="G30" s="288"/>
      <c r="H30" s="288"/>
      <c r="I30" s="288"/>
      <c r="J30" s="288"/>
      <c r="K30" s="288"/>
      <c r="L30" s="288"/>
      <c r="M30" s="288"/>
    </row>
    <row r="31" spans="2:13" ht="12" customHeight="1" x14ac:dyDescent="0.25">
      <c r="B31" s="288"/>
      <c r="C31" s="288"/>
      <c r="D31" s="288"/>
      <c r="E31" s="288"/>
      <c r="F31" s="288"/>
      <c r="G31" s="288"/>
      <c r="H31" s="288"/>
      <c r="I31" s="288"/>
      <c r="J31" s="288"/>
      <c r="K31" s="288"/>
      <c r="L31" s="288"/>
      <c r="M31" s="288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2"/>
  <dimension ref="A1:AS427"/>
  <sheetViews>
    <sheetView topLeftCell="A4" zoomScale="115" zoomScaleNormal="115" workbookViewId="0">
      <selection activeCell="C26" sqref="C26"/>
    </sheetView>
  </sheetViews>
  <sheetFormatPr baseColWidth="10" defaultColWidth="11.42578125" defaultRowHeight="15" x14ac:dyDescent="0.25"/>
  <cols>
    <col min="1" max="1" width="13.7109375" style="25" customWidth="1"/>
    <col min="2" max="2" width="36.140625" style="25" customWidth="1"/>
    <col min="3" max="3" width="14.85546875" style="25" bestFit="1" customWidth="1"/>
    <col min="4" max="4" width="16.42578125" style="25" customWidth="1"/>
    <col min="5" max="5" width="23.28515625" style="25" customWidth="1"/>
    <col min="6" max="6" width="28.85546875" style="25" bestFit="1" customWidth="1"/>
    <col min="7" max="8" width="14.7109375" style="25" customWidth="1"/>
    <col min="9" max="9" width="17" style="25" customWidth="1"/>
    <col min="10" max="10" width="13.85546875" style="25" customWidth="1"/>
    <col min="11" max="16384" width="11.42578125" style="25"/>
  </cols>
  <sheetData>
    <row r="1" spans="1:38" x14ac:dyDescent="0.25">
      <c r="A1" s="5"/>
      <c r="B1" s="5"/>
      <c r="C1" s="289" t="s">
        <v>190</v>
      </c>
      <c r="D1" s="289"/>
      <c r="E1" s="289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.75" thickBot="1" x14ac:dyDescent="0.3">
      <c r="A2" s="5"/>
      <c r="B2" s="5"/>
      <c r="C2" s="5"/>
      <c r="D2" s="5"/>
      <c r="E2" s="5"/>
      <c r="F2" s="5"/>
      <c r="G2" s="5"/>
      <c r="H2" s="5"/>
      <c r="I2" s="224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7" thickBot="1" x14ac:dyDescent="0.3">
      <c r="A3" s="5"/>
      <c r="B3" s="294" t="s">
        <v>192</v>
      </c>
      <c r="C3" s="295"/>
      <c r="D3" s="295"/>
      <c r="E3" s="295"/>
      <c r="F3" s="296"/>
      <c r="G3" s="91"/>
      <c r="I3" s="224" t="s">
        <v>304</v>
      </c>
      <c r="J3" s="92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6.25" x14ac:dyDescent="0.25">
      <c r="A4" s="93"/>
      <c r="B4" s="93"/>
      <c r="C4" s="93"/>
      <c r="D4" s="93"/>
      <c r="E4" s="93"/>
      <c r="F4" s="93"/>
      <c r="G4" s="234"/>
      <c r="I4" s="224" t="s">
        <v>305</v>
      </c>
      <c r="J4" s="92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6.25" x14ac:dyDescent="0.25">
      <c r="A5" s="300" t="s">
        <v>231</v>
      </c>
      <c r="B5" s="300"/>
      <c r="C5" s="26">
        <v>4.2</v>
      </c>
      <c r="D5" s="301" t="s">
        <v>229</v>
      </c>
      <c r="E5" s="302"/>
      <c r="F5" s="93"/>
      <c r="G5" s="234"/>
      <c r="H5" s="235"/>
      <c r="I5" s="235"/>
      <c r="J5" s="243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25">
      <c r="A6" s="94"/>
      <c r="B6" s="94"/>
      <c r="C6" s="95"/>
      <c r="D6" s="89"/>
      <c r="E6" s="89"/>
      <c r="F6" s="29"/>
      <c r="G6" s="236"/>
      <c r="H6" s="237"/>
      <c r="I6" s="237"/>
      <c r="J6" s="244"/>
      <c r="P6" s="95"/>
      <c r="Q6" s="95"/>
      <c r="R6" s="95"/>
      <c r="S6" s="95"/>
      <c r="T6" s="95"/>
      <c r="U6" s="95"/>
      <c r="V6" s="95"/>
      <c r="W6" s="95"/>
      <c r="X6" s="95"/>
      <c r="Y6" s="95"/>
      <c r="Z6" s="95"/>
    </row>
    <row r="7" spans="1:38" ht="26.25" x14ac:dyDescent="0.25">
      <c r="A7" s="298" t="s">
        <v>226</v>
      </c>
      <c r="B7" s="298"/>
      <c r="C7" s="93"/>
      <c r="D7" s="93"/>
      <c r="E7" s="5"/>
      <c r="F7" s="93"/>
      <c r="G7" s="234"/>
      <c r="H7" s="235"/>
      <c r="I7" s="235"/>
      <c r="J7" s="243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25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49"/>
      <c r="J8" s="243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25">
      <c r="A9" s="33" t="s">
        <v>165</v>
      </c>
      <c r="B9" s="34" t="s">
        <v>6</v>
      </c>
      <c r="C9" s="35">
        <v>0.25</v>
      </c>
      <c r="D9" s="36">
        <f t="shared" ref="D9:D18" si="0">C9*$C$5</f>
        <v>1.05</v>
      </c>
      <c r="E9" s="37">
        <v>120</v>
      </c>
      <c r="F9" s="38" t="str">
        <f t="array" ref="F9">IF(E9="","",IF(INDEX(A:A,MAX(IF(ISNUMBER($A$36:$A$55),ROW($A$36:$A$55),"")))&lt;&gt;E9,"Corrigez : révolution incorrecte","OK"))</f>
        <v>OK</v>
      </c>
      <c r="G9" s="254" t="s">
        <v>306</v>
      </c>
      <c r="I9" s="250"/>
      <c r="J9" s="243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25">
      <c r="A10" s="33" t="s">
        <v>166</v>
      </c>
      <c r="B10" s="34" t="s">
        <v>21</v>
      </c>
      <c r="C10" s="35">
        <v>0.25</v>
      </c>
      <c r="D10" s="36">
        <f t="shared" si="0"/>
        <v>1.05</v>
      </c>
      <c r="E10" s="37">
        <v>80</v>
      </c>
      <c r="F10" s="38" t="str">
        <f t="array" ref="F10">IF(E10="","",IF(INDEX(A:A,MAX(IF(ISNUMBER($A$62:$A$81),ROW($A$62:$A$81),"")))&lt;&gt;E10,"Corrigez : révolution incorrecte","OK"))</f>
        <v>OK</v>
      </c>
      <c r="I10" s="250"/>
      <c r="J10" s="243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25">
      <c r="A11" s="33" t="s">
        <v>167</v>
      </c>
      <c r="B11" s="34" t="s">
        <v>14</v>
      </c>
      <c r="C11" s="35">
        <v>0.25</v>
      </c>
      <c r="D11" s="36">
        <f t="shared" si="0"/>
        <v>1.05</v>
      </c>
      <c r="E11" s="37">
        <v>150</v>
      </c>
      <c r="F11" s="38" t="str">
        <f t="array" ref="F11">IF(E11="","",IF(INDEX(A:A,MAX(IF(ISNUMBER($A$88:$A$107),ROW($A$88:$A$107),"")))&lt;&gt;E11,"Corrigez : révolution incorrecte","OK"))</f>
        <v>OK</v>
      </c>
      <c r="H11" s="227"/>
      <c r="I11" s="250"/>
      <c r="J11" s="243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25">
      <c r="A12" s="33" t="s">
        <v>168</v>
      </c>
      <c r="B12" s="34" t="s">
        <v>12</v>
      </c>
      <c r="C12" s="35">
        <v>0.1071</v>
      </c>
      <c r="D12" s="36">
        <f t="shared" si="0"/>
        <v>0.44982</v>
      </c>
      <c r="E12" s="37">
        <v>150</v>
      </c>
      <c r="F12" s="38" t="str">
        <f t="array" ref="F12">IF(E12="","",IF(INDEX(A:A,MAX(IF(ISNUMBER($A$114:$A$133),ROW($A$114:$A$133),"")))&lt;&gt;E12,"Corrigez : révolution incorrecte","OK"))</f>
        <v>OK</v>
      </c>
      <c r="H12" s="227"/>
      <c r="I12" s="250"/>
      <c r="J12" s="243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25">
      <c r="A13" s="33" t="s">
        <v>169</v>
      </c>
      <c r="B13" s="34" t="s">
        <v>52</v>
      </c>
      <c r="C13" s="35">
        <v>2.86E-2</v>
      </c>
      <c r="D13" s="36">
        <f t="shared" si="0"/>
        <v>0.12012</v>
      </c>
      <c r="E13" s="37">
        <v>150</v>
      </c>
      <c r="F13" s="38" t="str">
        <f t="array" ref="F13">IF(E13="","",IF(INDEX(A:A,MAX(IF(ISNUMBER($A$140:$A$159),ROW($A$140:$A$159),"")))&lt;&gt;E13,"Corrigez : révolution incorrecte","OK"))</f>
        <v>OK</v>
      </c>
      <c r="H13" s="227"/>
      <c r="I13" s="250"/>
      <c r="J13" s="243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25">
      <c r="A14" s="33" t="s">
        <v>170</v>
      </c>
      <c r="B14" s="34" t="s">
        <v>1</v>
      </c>
      <c r="C14" s="35">
        <v>2.86E-2</v>
      </c>
      <c r="D14" s="36">
        <f t="shared" si="0"/>
        <v>0.12012</v>
      </c>
      <c r="E14" s="37">
        <v>150</v>
      </c>
      <c r="F14" s="38" t="str">
        <f t="array" ref="F14">IF(E14="","",IF(INDEX(A:A,MAX(IF(ISNUMBER($A$166:$A$185),ROW($A$166:$A$185),"")))&lt;&gt;E14,"Corrigez : révolution incorrecte","OK"))</f>
        <v>OK</v>
      </c>
      <c r="H14" s="227"/>
      <c r="I14" s="250"/>
      <c r="J14" s="243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25">
      <c r="A15" s="33" t="s">
        <v>171</v>
      </c>
      <c r="B15" s="34" t="s">
        <v>29</v>
      </c>
      <c r="C15" s="35">
        <v>2.86E-2</v>
      </c>
      <c r="D15" s="36">
        <f t="shared" si="0"/>
        <v>0.12012</v>
      </c>
      <c r="E15" s="37">
        <v>69</v>
      </c>
      <c r="F15" s="38" t="str">
        <f t="array" ref="F15">IF(E15="","",IF(INDEX(A:A,MAX(IF(ISNUMBER($A$192:$A$211),ROW($A$192:$A$211),"")))&lt;&gt;E15,"Corrigez : révolution incorrecte","OK"))</f>
        <v>OK</v>
      </c>
      <c r="H15" s="227"/>
      <c r="I15" s="250"/>
      <c r="J15" s="243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25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27"/>
      <c r="I16" s="250"/>
      <c r="J16" s="243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25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27"/>
      <c r="I17" s="250"/>
      <c r="J17" s="243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25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27"/>
      <c r="I18" s="250"/>
      <c r="J18" s="243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25">
      <c r="A19" s="96"/>
      <c r="B19" s="39" t="s">
        <v>175</v>
      </c>
      <c r="C19" s="40">
        <f>SUM(C9:C18)</f>
        <v>0.94289999999999985</v>
      </c>
      <c r="D19" s="41">
        <f>SUM(D9:D18)</f>
        <v>3.9601800000000003</v>
      </c>
      <c r="E19" s="5"/>
      <c r="F19" s="97"/>
      <c r="G19" s="238"/>
      <c r="H19" s="239"/>
      <c r="I19" s="238"/>
      <c r="J19" s="243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25">
      <c r="A20" s="96"/>
      <c r="B20" s="42" t="s">
        <v>230</v>
      </c>
      <c r="C20" s="43" t="str">
        <f>IF(C19&gt;100%,"Erreur : corrigez","OK")</f>
        <v>OK</v>
      </c>
      <c r="D20" s="245"/>
      <c r="F20" s="237"/>
      <c r="G20" s="237"/>
      <c r="H20" s="239"/>
      <c r="I20" s="238"/>
      <c r="J20" s="243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25">
      <c r="A21" s="5"/>
      <c r="B21" s="5"/>
      <c r="C21" s="5"/>
      <c r="H21" s="240"/>
      <c r="I21" s="251"/>
      <c r="J21" s="243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35">
      <c r="A22" s="297" t="s">
        <v>232</v>
      </c>
      <c r="B22" s="297"/>
      <c r="C22" s="95"/>
      <c r="H22" s="226"/>
      <c r="I22" s="244"/>
      <c r="J22" s="244"/>
      <c r="P22" s="95"/>
      <c r="Q22" s="95"/>
      <c r="R22" s="95"/>
      <c r="S22" s="95"/>
      <c r="T22" s="95"/>
      <c r="U22" s="95"/>
      <c r="V22" s="95"/>
      <c r="W22" s="95"/>
      <c r="X22" s="95"/>
      <c r="Y22" s="95"/>
      <c r="Z22" s="95"/>
      <c r="AA22" s="95"/>
      <c r="AB22" s="95"/>
      <c r="AC22" s="95"/>
      <c r="AD22" s="95"/>
      <c r="AE22" s="95"/>
      <c r="AF22" s="95"/>
      <c r="AG22" s="95"/>
      <c r="AH22" s="95"/>
      <c r="AI22" s="95"/>
      <c r="AJ22" s="95"/>
      <c r="AK22" s="95"/>
      <c r="AL22" s="95"/>
      <c r="AM22" s="95"/>
    </row>
    <row r="23" spans="1:45" x14ac:dyDescent="0.25">
      <c r="A23" s="5"/>
      <c r="B23" s="5"/>
      <c r="C23" s="5"/>
      <c r="H23" s="217"/>
      <c r="I23" s="243"/>
      <c r="J23" s="243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25">
      <c r="A24" s="44" t="s">
        <v>218</v>
      </c>
      <c r="B24" s="45" t="s">
        <v>224</v>
      </c>
      <c r="C24" s="46">
        <v>0</v>
      </c>
      <c r="D24" s="47" t="s">
        <v>233</v>
      </c>
      <c r="E24" s="98"/>
      <c r="F24" s="98"/>
      <c r="G24" s="241"/>
      <c r="H24" s="227"/>
      <c r="I24" s="241"/>
      <c r="J24" s="242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25">
      <c r="A25" s="44" t="s">
        <v>220</v>
      </c>
      <c r="B25" s="45" t="s">
        <v>219</v>
      </c>
      <c r="C25" s="48">
        <v>0.1</v>
      </c>
      <c r="D25" s="99"/>
      <c r="E25" s="5"/>
      <c r="F25" s="99"/>
      <c r="G25" s="242"/>
      <c r="H25" s="227"/>
      <c r="I25" s="242"/>
      <c r="J25" s="242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25">
      <c r="A26" s="44" t="s">
        <v>222</v>
      </c>
      <c r="B26" s="45" t="s">
        <v>221</v>
      </c>
      <c r="C26" s="46">
        <v>0.1</v>
      </c>
      <c r="D26" s="47" t="s">
        <v>234</v>
      </c>
      <c r="E26" s="98"/>
      <c r="F26" s="98"/>
      <c r="G26" s="241"/>
      <c r="I26" s="241"/>
      <c r="J26" s="241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25">
      <c r="A27" s="44" t="s">
        <v>223</v>
      </c>
      <c r="B27" s="45" t="s">
        <v>225</v>
      </c>
      <c r="C27" s="46">
        <v>0</v>
      </c>
      <c r="D27" s="47" t="s">
        <v>235</v>
      </c>
      <c r="E27" s="98"/>
      <c r="F27" s="98"/>
      <c r="G27" s="241"/>
      <c r="I27" s="241"/>
      <c r="J27" s="241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25">
      <c r="A28" s="5"/>
      <c r="B28" s="5"/>
      <c r="H28" s="243"/>
      <c r="I28" s="243"/>
      <c r="J28" s="243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25">
      <c r="A29" s="5"/>
      <c r="B29" s="5"/>
      <c r="H29" s="243"/>
      <c r="I29" s="243"/>
      <c r="J29" s="243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25">
      <c r="A30" s="299" t="s">
        <v>227</v>
      </c>
      <c r="B30" s="299"/>
      <c r="D30" s="246"/>
      <c r="H30" s="244"/>
      <c r="I30" s="244"/>
      <c r="J30" s="244"/>
      <c r="P30" s="95"/>
      <c r="Q30" s="95"/>
      <c r="R30" s="95"/>
      <c r="S30" s="95"/>
      <c r="T30" s="95"/>
      <c r="U30" s="95"/>
      <c r="V30" s="95"/>
      <c r="W30" s="95"/>
      <c r="X30" s="95"/>
      <c r="Y30" s="95"/>
      <c r="Z30" s="95"/>
      <c r="AA30" s="95"/>
      <c r="AB30" s="95"/>
      <c r="AC30" s="95"/>
      <c r="AD30" s="95"/>
      <c r="AE30" s="95"/>
      <c r="AF30" s="95"/>
      <c r="AG30" s="95"/>
      <c r="AH30" s="95"/>
      <c r="AI30" s="95"/>
      <c r="AJ30" s="95"/>
      <c r="AK30" s="95"/>
      <c r="AL30" s="95"/>
      <c r="AM30" s="95"/>
      <c r="AN30" s="95"/>
      <c r="AO30" s="95"/>
      <c r="AP30" s="95"/>
      <c r="AQ30" s="95"/>
      <c r="AR30" s="95"/>
      <c r="AS30" s="95"/>
    </row>
    <row r="31" spans="1:45" x14ac:dyDescent="0.25">
      <c r="A31" s="5"/>
      <c r="B31" s="5"/>
      <c r="H31" s="243"/>
      <c r="I31" s="243"/>
      <c r="J31" s="243"/>
      <c r="K31" s="246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25">
      <c r="A32" s="49" t="s">
        <v>165</v>
      </c>
      <c r="B32" s="50" t="str">
        <f>IF(B9="","",B9)</f>
        <v>Charme</v>
      </c>
      <c r="D32" s="255" t="s">
        <v>307</v>
      </c>
      <c r="K32" s="246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25">
      <c r="A33" s="49"/>
      <c r="B33" s="5"/>
      <c r="K33" s="246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25">
      <c r="A34" s="5"/>
      <c r="B34" s="88" t="s">
        <v>185</v>
      </c>
      <c r="C34" s="290" t="s">
        <v>186</v>
      </c>
      <c r="D34" s="290"/>
      <c r="E34" s="291" t="s">
        <v>187</v>
      </c>
      <c r="F34" s="292"/>
      <c r="G34" s="292"/>
      <c r="H34" s="293"/>
      <c r="I34" s="100"/>
      <c r="J34" s="247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5" x14ac:dyDescent="0.25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48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25">
      <c r="A36" s="53">
        <v>15</v>
      </c>
      <c r="B36" s="61">
        <f>74/1.56</f>
        <v>47.435897435897431</v>
      </c>
      <c r="C36" s="61"/>
      <c r="D36" s="61"/>
      <c r="E36" s="54"/>
      <c r="F36" s="54"/>
      <c r="G36" s="54"/>
      <c r="H36" s="54"/>
      <c r="I36" s="52">
        <f>IFERROR(B36/A36,"")</f>
        <v>3.1623931623931623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25">
      <c r="A37" s="53">
        <v>20</v>
      </c>
      <c r="B37" s="61">
        <f>(118+14)/1.56</f>
        <v>84.615384615384613</v>
      </c>
      <c r="C37" s="61">
        <v>1</v>
      </c>
      <c r="D37" s="61">
        <f>(14+19)/1.56</f>
        <v>21.153846153846153</v>
      </c>
      <c r="E37" s="54"/>
      <c r="F37" s="54"/>
      <c r="G37" s="54"/>
      <c r="H37" s="54">
        <v>1</v>
      </c>
      <c r="I37" s="56">
        <f t="shared" ref="I37:I55" si="1">IF(A37&lt;&gt;0,(B37-(B36-D36))/(A37-A36),"")</f>
        <v>7.4358974358974361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25">
      <c r="A38" s="53">
        <v>25</v>
      </c>
      <c r="B38" s="61">
        <f>158/1.56</f>
        <v>101.28205128205128</v>
      </c>
      <c r="C38" s="61"/>
      <c r="D38" s="61"/>
      <c r="E38" s="54"/>
      <c r="F38" s="54"/>
      <c r="G38" s="54"/>
      <c r="H38" s="54"/>
      <c r="I38" s="56">
        <f t="shared" si="1"/>
        <v>7.5641025641025648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25">
      <c r="A39" s="53">
        <v>30</v>
      </c>
      <c r="B39" s="61">
        <f>(193+23)/1.56</f>
        <v>138.46153846153845</v>
      </c>
      <c r="C39" s="61">
        <v>2</v>
      </c>
      <c r="D39" s="61">
        <f>(23+25)/1.56</f>
        <v>30.769230769230766</v>
      </c>
      <c r="E39" s="54"/>
      <c r="F39" s="54"/>
      <c r="G39" s="54"/>
      <c r="H39" s="54">
        <v>1</v>
      </c>
      <c r="I39" s="52">
        <f t="shared" si="1"/>
        <v>7.4358974358974335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25">
      <c r="A40" s="53">
        <v>35</v>
      </c>
      <c r="B40" s="61">
        <f>224/1.56</f>
        <v>143.58974358974359</v>
      </c>
      <c r="C40" s="61"/>
      <c r="D40" s="61"/>
      <c r="E40" s="54"/>
      <c r="F40" s="54"/>
      <c r="G40" s="54"/>
      <c r="H40" s="54"/>
      <c r="I40" s="52">
        <f t="shared" si="1"/>
        <v>7.1794871794871824</v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25">
      <c r="A41" s="53">
        <v>40</v>
      </c>
      <c r="B41" s="61">
        <f>(250+27)/1.56</f>
        <v>177.56410256410257</v>
      </c>
      <c r="C41" s="61">
        <v>3</v>
      </c>
      <c r="D41" s="61">
        <f>(27+27)/1.56</f>
        <v>34.615384615384613</v>
      </c>
      <c r="E41" s="54"/>
      <c r="F41" s="54"/>
      <c r="G41" s="54"/>
      <c r="H41" s="54"/>
      <c r="I41" s="56">
        <f t="shared" si="1"/>
        <v>6.7948717948717956</v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25">
      <c r="A42" s="53">
        <v>45</v>
      </c>
      <c r="B42" s="61">
        <f>272/1.56</f>
        <v>174.35897435897436</v>
      </c>
      <c r="C42" s="61"/>
      <c r="D42" s="61"/>
      <c r="E42" s="54"/>
      <c r="F42" s="54"/>
      <c r="G42" s="54"/>
      <c r="H42" s="54"/>
      <c r="I42" s="56">
        <f t="shared" si="1"/>
        <v>6.2820512820512819</v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25">
      <c r="A43" s="279">
        <v>50</v>
      </c>
      <c r="B43" s="61">
        <f>(292+27)/1.56</f>
        <v>204.48717948717947</v>
      </c>
      <c r="C43" s="61">
        <v>4</v>
      </c>
      <c r="D43" s="61">
        <f>(27+27)/1.56</f>
        <v>34.615384615384613</v>
      </c>
      <c r="E43" s="54"/>
      <c r="F43" s="54"/>
      <c r="G43" s="54"/>
      <c r="H43" s="54"/>
      <c r="I43" s="52">
        <f t="shared" si="1"/>
        <v>6.025641025641022</v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25">
      <c r="A44" s="279">
        <v>55</v>
      </c>
      <c r="B44" s="61">
        <f>309/1.56</f>
        <v>198.07692307692307</v>
      </c>
      <c r="C44" s="61"/>
      <c r="D44" s="61"/>
      <c r="E44" s="54"/>
      <c r="F44" s="54"/>
      <c r="G44" s="54"/>
      <c r="H44" s="54"/>
      <c r="I44" s="52">
        <f t="shared" si="1"/>
        <v>5.6410256410256405</v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25">
      <c r="A45" s="279">
        <v>60</v>
      </c>
      <c r="B45" s="61">
        <f>(324+27)/1.56</f>
        <v>225</v>
      </c>
      <c r="C45" s="61">
        <v>5</v>
      </c>
      <c r="D45" s="61">
        <f>(27+26)/1.56</f>
        <v>33.974358974358971</v>
      </c>
      <c r="E45" s="54"/>
      <c r="F45" s="54"/>
      <c r="G45" s="54"/>
      <c r="H45" s="54"/>
      <c r="I45" s="52">
        <f t="shared" si="1"/>
        <v>5.3846153846153868</v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25">
      <c r="A46" s="279">
        <v>65</v>
      </c>
      <c r="B46" s="61">
        <f>337/1.56</f>
        <v>216.02564102564102</v>
      </c>
      <c r="C46" s="61"/>
      <c r="D46" s="61"/>
      <c r="E46" s="54"/>
      <c r="F46" s="54"/>
      <c r="G46" s="54"/>
      <c r="H46" s="54"/>
      <c r="I46" s="52">
        <f t="shared" si="1"/>
        <v>5</v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25">
      <c r="A47" s="279">
        <v>70</v>
      </c>
      <c r="B47" s="61">
        <f>(349+25)/1.56</f>
        <v>239.74358974358972</v>
      </c>
      <c r="C47" s="61">
        <v>6</v>
      </c>
      <c r="D47" s="61">
        <f>(25+24)/1.56</f>
        <v>31.410256410256409</v>
      </c>
      <c r="E47" s="54"/>
      <c r="F47" s="54"/>
      <c r="G47" s="54"/>
      <c r="H47" s="54"/>
      <c r="I47" s="52">
        <f t="shared" si="1"/>
        <v>4.7435897435897401</v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25">
      <c r="A48" s="279">
        <v>75</v>
      </c>
      <c r="B48" s="61">
        <f>360/1.56</f>
        <v>230.76923076923077</v>
      </c>
      <c r="C48" s="61"/>
      <c r="D48" s="61"/>
      <c r="E48" s="54"/>
      <c r="F48" s="54"/>
      <c r="G48" s="54"/>
      <c r="H48" s="54"/>
      <c r="I48" s="52">
        <f t="shared" si="1"/>
        <v>4.4871794871794917</v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25">
      <c r="A49" s="279">
        <v>80</v>
      </c>
      <c r="B49" s="61">
        <f>(370+24)/1.56</f>
        <v>252.56410256410257</v>
      </c>
      <c r="C49" s="61">
        <v>7</v>
      </c>
      <c r="D49" s="61">
        <f>(24+23)/1.56</f>
        <v>30.128205128205128</v>
      </c>
      <c r="E49" s="54"/>
      <c r="F49" s="54"/>
      <c r="G49" s="54"/>
      <c r="H49" s="54"/>
      <c r="I49" s="52">
        <f t="shared" si="1"/>
        <v>4.3589743589743595</v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25">
      <c r="A50" s="279">
        <v>85</v>
      </c>
      <c r="B50" s="53">
        <f>380/1.56</f>
        <v>243.58974358974359</v>
      </c>
      <c r="C50" s="53"/>
      <c r="D50" s="53"/>
      <c r="E50" s="54"/>
      <c r="F50" s="54"/>
      <c r="G50" s="54"/>
      <c r="H50" s="54"/>
      <c r="I50" s="52">
        <f t="shared" si="1"/>
        <v>4.2307692307692317</v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25">
      <c r="A51" s="279">
        <v>90</v>
      </c>
      <c r="B51" s="53">
        <f>(388+22)/1.56</f>
        <v>262.82051282051282</v>
      </c>
      <c r="C51" s="53">
        <v>8</v>
      </c>
      <c r="D51" s="53">
        <f>(22+22)/1.56</f>
        <v>28.205128205128204</v>
      </c>
      <c r="E51" s="54"/>
      <c r="F51" s="54"/>
      <c r="G51" s="54"/>
      <c r="H51" s="54"/>
      <c r="I51" s="52">
        <f t="shared" si="1"/>
        <v>3.8461538461538454</v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25">
      <c r="A52" s="279">
        <v>95</v>
      </c>
      <c r="B52" s="53">
        <f>396/1.56</f>
        <v>253.84615384615384</v>
      </c>
      <c r="C52" s="53"/>
      <c r="D52" s="53"/>
      <c r="E52" s="54"/>
      <c r="F52" s="54"/>
      <c r="G52" s="54"/>
      <c r="H52" s="54"/>
      <c r="I52" s="52">
        <f t="shared" si="1"/>
        <v>3.8461538461538454</v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25">
      <c r="A53" s="279">
        <v>100</v>
      </c>
      <c r="B53" s="53">
        <f>(403+21)/1.56</f>
        <v>271.79487179487177</v>
      </c>
      <c r="C53" s="53">
        <v>9</v>
      </c>
      <c r="D53" s="53">
        <f>(21+20)/1.56</f>
        <v>26.282051282051281</v>
      </c>
      <c r="E53" s="54"/>
      <c r="F53" s="54"/>
      <c r="G53" s="54"/>
      <c r="H53" s="54"/>
      <c r="I53" s="52">
        <f t="shared" si="1"/>
        <v>3.5897435897435854</v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25">
      <c r="A54" s="279">
        <v>110</v>
      </c>
      <c r="B54" s="53">
        <f>(416+20)/1.56</f>
        <v>279.4871794871795</v>
      </c>
      <c r="C54" s="53">
        <v>10</v>
      </c>
      <c r="D54" s="53">
        <f>(20+19)/1.56</f>
        <v>25</v>
      </c>
      <c r="E54" s="54"/>
      <c r="F54" s="54"/>
      <c r="G54" s="54"/>
      <c r="H54" s="54"/>
      <c r="I54" s="52">
        <f t="shared" si="1"/>
        <v>3.3974358974359005</v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25">
      <c r="A55" s="279">
        <v>120</v>
      </c>
      <c r="B55" s="53">
        <f>(427+19)/1.56</f>
        <v>285.89743589743591</v>
      </c>
      <c r="C55" s="53">
        <v>11</v>
      </c>
      <c r="D55" s="53">
        <f>B55</f>
        <v>285.89743589743591</v>
      </c>
      <c r="E55" s="54"/>
      <c r="F55" s="54"/>
      <c r="G55" s="54"/>
      <c r="H55" s="54"/>
      <c r="I55" s="52">
        <f t="shared" si="1"/>
        <v>3.141025641025641</v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25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25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25">
      <c r="A58" s="49" t="s">
        <v>166</v>
      </c>
      <c r="B58" s="55" t="str">
        <f>IF(B10="","",B10)</f>
        <v>Erable champêtre</v>
      </c>
      <c r="D58" s="255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25">
      <c r="A59" s="49"/>
      <c r="B59" s="101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25">
      <c r="A60" s="5"/>
      <c r="B60" s="88" t="s">
        <v>185</v>
      </c>
      <c r="C60" s="290" t="s">
        <v>186</v>
      </c>
      <c r="D60" s="290"/>
      <c r="E60" s="291" t="s">
        <v>187</v>
      </c>
      <c r="F60" s="292"/>
      <c r="G60" s="292"/>
      <c r="H60" s="293"/>
      <c r="I60" s="100"/>
      <c r="J60" s="247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5" x14ac:dyDescent="0.25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48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25">
      <c r="A62" s="53">
        <v>15</v>
      </c>
      <c r="B62" s="61">
        <v>9</v>
      </c>
      <c r="C62" s="53"/>
      <c r="D62" s="61"/>
      <c r="E62" s="64"/>
      <c r="F62" s="64"/>
      <c r="G62" s="64"/>
      <c r="H62" s="64"/>
      <c r="I62" s="56">
        <f>IFERROR(B62/A62,"")</f>
        <v>0.6</v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25">
      <c r="A63" s="53">
        <v>20</v>
      </c>
      <c r="B63" s="61">
        <v>57</v>
      </c>
      <c r="C63" s="53"/>
      <c r="D63" s="61"/>
      <c r="E63" s="64"/>
      <c r="F63" s="64"/>
      <c r="G63" s="64"/>
      <c r="H63" s="64"/>
      <c r="I63" s="52">
        <f>IF(A63&lt;&gt;0,(B63-(B62-D62))/(A63-A62),"")</f>
        <v>9.6</v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25">
      <c r="A64" s="53">
        <v>25</v>
      </c>
      <c r="B64" s="61">
        <f>86+21</f>
        <v>107</v>
      </c>
      <c r="C64" s="53">
        <v>1</v>
      </c>
      <c r="D64" s="61">
        <f>21+21</f>
        <v>42</v>
      </c>
      <c r="E64" s="64"/>
      <c r="F64" s="64"/>
      <c r="G64" s="64"/>
      <c r="H64" s="64">
        <v>1</v>
      </c>
      <c r="I64" s="52">
        <f>IF(A64&lt;&gt;0,(B64-(B63-D63))/(A64-A63),"")</f>
        <v>10</v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25">
      <c r="A65" s="58">
        <v>30</v>
      </c>
      <c r="B65" s="58">
        <v>114</v>
      </c>
      <c r="C65" s="58"/>
      <c r="D65" s="58"/>
      <c r="E65" s="64"/>
      <c r="F65" s="64"/>
      <c r="G65" s="64"/>
      <c r="H65" s="64"/>
      <c r="I65" s="52">
        <f>IF(A65&lt;&gt;0,(B65-(B64-D64))/(A65-A64),"")</f>
        <v>9.8000000000000007</v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25">
      <c r="A66" s="58">
        <v>35</v>
      </c>
      <c r="B66" s="58">
        <v>157</v>
      </c>
      <c r="C66" s="58">
        <v>2</v>
      </c>
      <c r="D66" s="58">
        <v>42</v>
      </c>
      <c r="E66" s="64"/>
      <c r="F66" s="64"/>
      <c r="G66" s="64"/>
      <c r="H66" s="64"/>
      <c r="I66" s="52">
        <f t="shared" ref="I66:I81" si="2">IF(A66&lt;&gt;0,(B66-(B65-D65))/(A66-A65),"")</f>
        <v>8.6</v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25">
      <c r="A67" s="58">
        <v>40</v>
      </c>
      <c r="B67" s="58">
        <v>153</v>
      </c>
      <c r="C67" s="58"/>
      <c r="D67" s="58"/>
      <c r="E67" s="64"/>
      <c r="F67" s="64"/>
      <c r="G67" s="64"/>
      <c r="H67" s="64"/>
      <c r="I67" s="52">
        <f t="shared" si="2"/>
        <v>7.6</v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25">
      <c r="A68" s="58">
        <v>45</v>
      </c>
      <c r="B68" s="58">
        <v>186</v>
      </c>
      <c r="C68" s="58">
        <v>3</v>
      </c>
      <c r="D68" s="58">
        <v>39</v>
      </c>
      <c r="E68" s="64"/>
      <c r="F68" s="64"/>
      <c r="G68" s="64"/>
      <c r="H68" s="64"/>
      <c r="I68" s="52">
        <f t="shared" si="2"/>
        <v>6.6</v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25">
      <c r="A69" s="58">
        <v>50</v>
      </c>
      <c r="B69" s="58">
        <v>174</v>
      </c>
      <c r="C69" s="58"/>
      <c r="D69" s="58"/>
      <c r="E69" s="64"/>
      <c r="F69" s="64"/>
      <c r="G69" s="64"/>
      <c r="H69" s="64"/>
      <c r="I69" s="52">
        <f t="shared" si="2"/>
        <v>5.4</v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25">
      <c r="A70" s="58">
        <v>55</v>
      </c>
      <c r="B70" s="58">
        <v>198</v>
      </c>
      <c r="C70" s="58">
        <v>4</v>
      </c>
      <c r="D70" s="58">
        <v>24</v>
      </c>
      <c r="E70" s="64"/>
      <c r="F70" s="64"/>
      <c r="G70" s="64"/>
      <c r="H70" s="64"/>
      <c r="I70" s="52">
        <f t="shared" si="2"/>
        <v>4.8</v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25">
      <c r="A71" s="58">
        <v>60</v>
      </c>
      <c r="B71" s="58">
        <v>195</v>
      </c>
      <c r="C71" s="58"/>
      <c r="D71" s="58"/>
      <c r="E71" s="64"/>
      <c r="F71" s="64"/>
      <c r="G71" s="64"/>
      <c r="H71" s="64"/>
      <c r="I71" s="52">
        <f t="shared" si="2"/>
        <v>4.2</v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25">
      <c r="A72" s="58">
        <v>65</v>
      </c>
      <c r="B72" s="58">
        <v>211</v>
      </c>
      <c r="C72" s="58">
        <v>5</v>
      </c>
      <c r="D72" s="58">
        <v>17</v>
      </c>
      <c r="E72" s="64"/>
      <c r="F72" s="64"/>
      <c r="G72" s="64"/>
      <c r="H72" s="64"/>
      <c r="I72" s="52">
        <f t="shared" si="2"/>
        <v>3.2</v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25">
      <c r="A73" s="58">
        <v>70</v>
      </c>
      <c r="B73" s="58">
        <v>209</v>
      </c>
      <c r="C73" s="58"/>
      <c r="D73" s="58"/>
      <c r="E73" s="64"/>
      <c r="F73" s="64"/>
      <c r="G73" s="64"/>
      <c r="H73" s="64"/>
      <c r="I73" s="52">
        <f t="shared" si="2"/>
        <v>3</v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25">
      <c r="A74" s="58">
        <v>75</v>
      </c>
      <c r="B74" s="58">
        <v>222</v>
      </c>
      <c r="C74" s="58"/>
      <c r="D74" s="58"/>
      <c r="E74" s="65"/>
      <c r="F74" s="65"/>
      <c r="G74" s="65"/>
      <c r="H74" s="65"/>
      <c r="I74" s="52">
        <f t="shared" si="2"/>
        <v>2.6</v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25">
      <c r="A75" s="90">
        <v>80</v>
      </c>
      <c r="B75" s="61">
        <f>219+8+7</f>
        <v>234</v>
      </c>
      <c r="C75" s="90">
        <v>6</v>
      </c>
      <c r="D75" s="61">
        <f>B75</f>
        <v>234</v>
      </c>
      <c r="E75" s="57"/>
      <c r="F75" s="57"/>
      <c r="G75" s="57"/>
      <c r="H75" s="57"/>
      <c r="I75" s="52">
        <f t="shared" si="2"/>
        <v>2.4</v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25">
      <c r="A76" s="53"/>
      <c r="B76" s="53"/>
      <c r="C76" s="53"/>
      <c r="D76" s="53"/>
      <c r="E76" s="54"/>
      <c r="F76" s="54"/>
      <c r="G76" s="54"/>
      <c r="H76" s="54"/>
      <c r="I76" s="52" t="str">
        <f t="shared" si="2"/>
        <v/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25">
      <c r="A77" s="53"/>
      <c r="B77" s="53"/>
      <c r="C77" s="53"/>
      <c r="D77" s="53"/>
      <c r="E77" s="54"/>
      <c r="F77" s="54"/>
      <c r="G77" s="54"/>
      <c r="H77" s="54"/>
      <c r="I77" s="52" t="str">
        <f t="shared" si="2"/>
        <v/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25">
      <c r="A78" s="53"/>
      <c r="B78" s="53"/>
      <c r="C78" s="53"/>
      <c r="D78" s="53"/>
      <c r="E78" s="54"/>
      <c r="F78" s="54"/>
      <c r="G78" s="54"/>
      <c r="H78" s="54"/>
      <c r="I78" s="52" t="str">
        <f t="shared" si="2"/>
        <v/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25">
      <c r="A79" s="53"/>
      <c r="B79" s="53"/>
      <c r="C79" s="53"/>
      <c r="D79" s="53"/>
      <c r="E79" s="54"/>
      <c r="F79" s="54"/>
      <c r="G79" s="54"/>
      <c r="H79" s="54"/>
      <c r="I79" s="52" t="str">
        <f t="shared" si="2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25">
      <c r="A80" s="53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25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25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25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25">
      <c r="A84" s="49" t="s">
        <v>167</v>
      </c>
      <c r="B84" s="55" t="str">
        <f>IF(B11="","",B11)</f>
        <v>Chêne sessile</v>
      </c>
      <c r="D84" s="255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25">
      <c r="A85" s="49"/>
      <c r="B85" s="101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25">
      <c r="A86" s="5"/>
      <c r="B86" s="88" t="s">
        <v>185</v>
      </c>
      <c r="C86" s="290" t="s">
        <v>186</v>
      </c>
      <c r="D86" s="290"/>
      <c r="E86" s="291" t="s">
        <v>187</v>
      </c>
      <c r="F86" s="292"/>
      <c r="G86" s="292"/>
      <c r="H86" s="293"/>
      <c r="I86" s="100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5" x14ac:dyDescent="0.25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25">
      <c r="A88" s="53">
        <v>20</v>
      </c>
      <c r="B88" s="61">
        <f>67+6</f>
        <v>73</v>
      </c>
      <c r="C88" s="61"/>
      <c r="D88" s="61"/>
      <c r="E88" s="54"/>
      <c r="F88" s="54"/>
      <c r="G88" s="54"/>
      <c r="H88" s="54"/>
      <c r="I88" s="56">
        <f>IFERROR(B88/A88,"")</f>
        <v>3.65</v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25">
      <c r="A89" s="53">
        <v>25</v>
      </c>
      <c r="B89" s="61">
        <f>75+6+28</f>
        <v>109</v>
      </c>
      <c r="C89" s="61">
        <v>1</v>
      </c>
      <c r="D89" s="61">
        <f>6+28</f>
        <v>34</v>
      </c>
      <c r="E89" s="54"/>
      <c r="F89" s="54"/>
      <c r="G89" s="54"/>
      <c r="H89" s="54">
        <v>1</v>
      </c>
      <c r="I89" s="56">
        <f t="shared" ref="I89:I107" si="3">IF(A89&lt;&gt;0,(B89-(B88-D88))/(A89-A88),"")</f>
        <v>7.2</v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25">
      <c r="A90" s="53">
        <v>30</v>
      </c>
      <c r="B90" s="61">
        <f>93+28</f>
        <v>121</v>
      </c>
      <c r="C90" s="61"/>
      <c r="D90" s="61"/>
      <c r="E90" s="54"/>
      <c r="F90" s="54"/>
      <c r="G90" s="54"/>
      <c r="H90" s="54"/>
      <c r="I90" s="56">
        <f t="shared" si="3"/>
        <v>9.1999999999999993</v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25">
      <c r="A91" s="53">
        <v>35</v>
      </c>
      <c r="B91" s="61">
        <f>119+28+28</f>
        <v>175</v>
      </c>
      <c r="C91" s="61">
        <v>2</v>
      </c>
      <c r="D91" s="61">
        <f>28+28</f>
        <v>56</v>
      </c>
      <c r="E91" s="54"/>
      <c r="F91" s="54"/>
      <c r="G91" s="54"/>
      <c r="H91" s="54"/>
      <c r="I91" s="56">
        <f t="shared" si="3"/>
        <v>10.8</v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25">
      <c r="A92" s="53">
        <v>40</v>
      </c>
      <c r="B92" s="61">
        <f>147+28</f>
        <v>175</v>
      </c>
      <c r="C92" s="61"/>
      <c r="D92" s="61"/>
      <c r="E92" s="54"/>
      <c r="F92" s="54"/>
      <c r="G92" s="54"/>
      <c r="H92" s="54"/>
      <c r="I92" s="56">
        <f t="shared" si="3"/>
        <v>11.2</v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25">
      <c r="A93" s="53">
        <v>45</v>
      </c>
      <c r="B93" s="61">
        <f>176+28+28</f>
        <v>232</v>
      </c>
      <c r="C93" s="61">
        <v>3</v>
      </c>
      <c r="D93" s="61">
        <f>28+28</f>
        <v>56</v>
      </c>
      <c r="E93" s="54"/>
      <c r="F93" s="54"/>
      <c r="G93" s="54"/>
      <c r="H93" s="54"/>
      <c r="I93" s="56">
        <f t="shared" si="3"/>
        <v>11.4</v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25">
      <c r="A94" s="53">
        <v>50</v>
      </c>
      <c r="B94" s="61">
        <f>203+28</f>
        <v>231</v>
      </c>
      <c r="C94" s="61"/>
      <c r="D94" s="61"/>
      <c r="E94" s="54"/>
      <c r="F94" s="54"/>
      <c r="G94" s="54"/>
      <c r="H94" s="54"/>
      <c r="I94" s="56">
        <f t="shared" si="3"/>
        <v>11</v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25">
      <c r="A95" s="279">
        <v>55</v>
      </c>
      <c r="B95" s="61">
        <f>226+28+28</f>
        <v>282</v>
      </c>
      <c r="C95" s="61">
        <v>4</v>
      </c>
      <c r="D95" s="61">
        <f>28+28</f>
        <v>56</v>
      </c>
      <c r="E95" s="54"/>
      <c r="F95" s="54"/>
      <c r="G95" s="54"/>
      <c r="H95" s="54"/>
      <c r="I95" s="56">
        <f t="shared" si="3"/>
        <v>10.199999999999999</v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25">
      <c r="A96" s="279">
        <v>60</v>
      </c>
      <c r="B96" s="61">
        <f>245+28</f>
        <v>273</v>
      </c>
      <c r="C96" s="61"/>
      <c r="D96" s="61"/>
      <c r="E96" s="54"/>
      <c r="F96" s="54"/>
      <c r="G96" s="54"/>
      <c r="H96" s="54"/>
      <c r="I96" s="56">
        <f t="shared" si="3"/>
        <v>9.4</v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25">
      <c r="A97" s="279">
        <v>65</v>
      </c>
      <c r="B97" s="61">
        <f>261+28+28</f>
        <v>317</v>
      </c>
      <c r="C97" s="61">
        <v>5</v>
      </c>
      <c r="D97" s="61">
        <f>28+28</f>
        <v>56</v>
      </c>
      <c r="E97" s="54"/>
      <c r="F97" s="54"/>
      <c r="G97" s="54"/>
      <c r="H97" s="54"/>
      <c r="I97" s="56">
        <f t="shared" si="3"/>
        <v>8.8000000000000007</v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25">
      <c r="A98" s="279">
        <v>70</v>
      </c>
      <c r="B98" s="61">
        <f>274+28</f>
        <v>302</v>
      </c>
      <c r="C98" s="61"/>
      <c r="D98" s="61"/>
      <c r="E98" s="54"/>
      <c r="F98" s="54"/>
      <c r="G98" s="54"/>
      <c r="H98" s="54"/>
      <c r="I98" s="56">
        <f t="shared" si="3"/>
        <v>8.1999999999999993</v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25">
      <c r="A99" s="279">
        <v>75</v>
      </c>
      <c r="B99" s="61">
        <f>284+28+28</f>
        <v>340</v>
      </c>
      <c r="C99" s="61">
        <v>6</v>
      </c>
      <c r="D99" s="61">
        <f>28+28</f>
        <v>56</v>
      </c>
      <c r="E99" s="54"/>
      <c r="F99" s="54"/>
      <c r="G99" s="54"/>
      <c r="H99" s="54"/>
      <c r="I99" s="56">
        <f t="shared" si="3"/>
        <v>7.6</v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25">
      <c r="A100" s="279">
        <v>80</v>
      </c>
      <c r="B100" s="61">
        <f>292+28</f>
        <v>320</v>
      </c>
      <c r="C100" s="61"/>
      <c r="D100" s="61"/>
      <c r="E100" s="54"/>
      <c r="F100" s="54"/>
      <c r="G100" s="54"/>
      <c r="H100" s="54"/>
      <c r="I100" s="56">
        <f t="shared" si="3"/>
        <v>7.2</v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25">
      <c r="A101" s="279">
        <v>90</v>
      </c>
      <c r="B101" s="61">
        <f>302+28+28+28</f>
        <v>386</v>
      </c>
      <c r="C101" s="61">
        <v>7</v>
      </c>
      <c r="D101" s="61">
        <f>28+28+28</f>
        <v>84</v>
      </c>
      <c r="E101" s="54"/>
      <c r="F101" s="54"/>
      <c r="G101" s="54"/>
      <c r="H101" s="54"/>
      <c r="I101" s="56">
        <f t="shared" si="3"/>
        <v>6.6</v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25">
      <c r="A102" s="279">
        <v>100</v>
      </c>
      <c r="B102" s="53">
        <v>361</v>
      </c>
      <c r="C102" s="53"/>
      <c r="D102" s="53"/>
      <c r="E102" s="54"/>
      <c r="F102" s="54"/>
      <c r="G102" s="54"/>
      <c r="H102" s="54"/>
      <c r="I102" s="56">
        <f t="shared" si="3"/>
        <v>5.9</v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25">
      <c r="A103" s="279">
        <v>110</v>
      </c>
      <c r="B103" s="53">
        <v>413</v>
      </c>
      <c r="C103" s="53">
        <v>8</v>
      </c>
      <c r="D103" s="53">
        <v>106</v>
      </c>
      <c r="E103" s="54"/>
      <c r="F103" s="54"/>
      <c r="G103" s="54"/>
      <c r="H103" s="54"/>
      <c r="I103" s="56">
        <f t="shared" si="3"/>
        <v>5.2</v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25">
      <c r="A104" s="279">
        <v>120</v>
      </c>
      <c r="B104" s="53">
        <v>352</v>
      </c>
      <c r="C104" s="53"/>
      <c r="D104" s="53"/>
      <c r="E104" s="54"/>
      <c r="F104" s="54"/>
      <c r="G104" s="54"/>
      <c r="H104" s="54"/>
      <c r="I104" s="56">
        <f t="shared" si="3"/>
        <v>4.5</v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25">
      <c r="A105" s="279">
        <v>130</v>
      </c>
      <c r="B105" s="53">
        <v>394</v>
      </c>
      <c r="C105" s="53">
        <v>9</v>
      </c>
      <c r="D105" s="53">
        <v>91</v>
      </c>
      <c r="E105" s="54"/>
      <c r="F105" s="54"/>
      <c r="G105" s="54"/>
      <c r="H105" s="54"/>
      <c r="I105" s="56">
        <f t="shared" si="3"/>
        <v>4.2</v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25">
      <c r="A106" s="279">
        <v>140</v>
      </c>
      <c r="B106" s="53">
        <v>341</v>
      </c>
      <c r="C106" s="53"/>
      <c r="D106" s="53"/>
      <c r="E106" s="54"/>
      <c r="F106" s="54"/>
      <c r="G106" s="54"/>
      <c r="H106" s="54"/>
      <c r="I106" s="56">
        <f t="shared" si="3"/>
        <v>3.8</v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25">
      <c r="A107" s="279">
        <v>150</v>
      </c>
      <c r="B107" s="53">
        <v>376</v>
      </c>
      <c r="C107" s="53">
        <v>10</v>
      </c>
      <c r="D107" s="53">
        <v>376</v>
      </c>
      <c r="E107" s="54"/>
      <c r="F107" s="54"/>
      <c r="G107" s="54"/>
      <c r="H107" s="54"/>
      <c r="I107" s="56">
        <f t="shared" si="3"/>
        <v>3.5</v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25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25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25">
      <c r="A110" s="49" t="s">
        <v>168</v>
      </c>
      <c r="B110" s="55" t="str">
        <f>IF(B12="","",B12)</f>
        <v>Chêne pubescent</v>
      </c>
      <c r="D110" s="255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25">
      <c r="A111" s="49"/>
      <c r="B111" s="101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25">
      <c r="A112" s="5"/>
      <c r="B112" s="88" t="s">
        <v>185</v>
      </c>
      <c r="C112" s="290" t="s">
        <v>186</v>
      </c>
      <c r="D112" s="290"/>
      <c r="E112" s="291" t="s">
        <v>187</v>
      </c>
      <c r="F112" s="292"/>
      <c r="G112" s="292"/>
      <c r="H112" s="293"/>
      <c r="I112" s="100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5" x14ac:dyDescent="0.25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25">
      <c r="A114" s="53">
        <v>20</v>
      </c>
      <c r="B114" s="61">
        <f>67+6</f>
        <v>73</v>
      </c>
      <c r="C114" s="61"/>
      <c r="D114" s="61"/>
      <c r="E114" s="54"/>
      <c r="F114" s="54"/>
      <c r="G114" s="54"/>
      <c r="H114" s="54"/>
      <c r="I114" s="56">
        <f>IFERROR(B114/A114,"")</f>
        <v>3.65</v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25">
      <c r="A115" s="53">
        <v>25</v>
      </c>
      <c r="B115" s="61">
        <f>75+6+28</f>
        <v>109</v>
      </c>
      <c r="C115" s="61">
        <v>1</v>
      </c>
      <c r="D115" s="61">
        <f>6+28</f>
        <v>34</v>
      </c>
      <c r="E115" s="54"/>
      <c r="F115" s="54"/>
      <c r="G115" s="54"/>
      <c r="H115" s="54">
        <v>1</v>
      </c>
      <c r="I115" s="56">
        <f t="shared" ref="I115:I133" si="4">IF(A115&lt;&gt;0,(B115-(B114-D114))/(A115-A114),"")</f>
        <v>7.2</v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25">
      <c r="A116" s="53">
        <v>30</v>
      </c>
      <c r="B116" s="61">
        <f>93+28</f>
        <v>121</v>
      </c>
      <c r="C116" s="61"/>
      <c r="D116" s="61"/>
      <c r="E116" s="54"/>
      <c r="F116" s="54"/>
      <c r="G116" s="54"/>
      <c r="H116" s="54"/>
      <c r="I116" s="56">
        <f t="shared" si="4"/>
        <v>9.1999999999999993</v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25">
      <c r="A117" s="53">
        <v>35</v>
      </c>
      <c r="B117" s="61">
        <f>119+28+28</f>
        <v>175</v>
      </c>
      <c r="C117" s="61">
        <v>2</v>
      </c>
      <c r="D117" s="61">
        <f>28+28</f>
        <v>56</v>
      </c>
      <c r="E117" s="54"/>
      <c r="F117" s="54"/>
      <c r="G117" s="54"/>
      <c r="H117" s="54"/>
      <c r="I117" s="56">
        <f t="shared" si="4"/>
        <v>10.8</v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25">
      <c r="A118" s="53">
        <v>40</v>
      </c>
      <c r="B118" s="61">
        <f>147+28</f>
        <v>175</v>
      </c>
      <c r="C118" s="61"/>
      <c r="D118" s="61"/>
      <c r="E118" s="54"/>
      <c r="F118" s="54"/>
      <c r="G118" s="54"/>
      <c r="H118" s="54"/>
      <c r="I118" s="56">
        <f t="shared" si="4"/>
        <v>11.2</v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25">
      <c r="A119" s="53">
        <v>45</v>
      </c>
      <c r="B119" s="61">
        <f>176+28+28</f>
        <v>232</v>
      </c>
      <c r="C119" s="61">
        <v>3</v>
      </c>
      <c r="D119" s="61">
        <f>28+28</f>
        <v>56</v>
      </c>
      <c r="E119" s="54"/>
      <c r="F119" s="54"/>
      <c r="G119" s="54"/>
      <c r="H119" s="54"/>
      <c r="I119" s="56">
        <f t="shared" si="4"/>
        <v>11.4</v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25">
      <c r="A120" s="53">
        <v>50</v>
      </c>
      <c r="B120" s="61">
        <f>203+28</f>
        <v>231</v>
      </c>
      <c r="C120" s="61"/>
      <c r="D120" s="61"/>
      <c r="E120" s="54"/>
      <c r="F120" s="54"/>
      <c r="G120" s="54"/>
      <c r="H120" s="54"/>
      <c r="I120" s="56">
        <f t="shared" si="4"/>
        <v>11</v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25">
      <c r="A121" s="279">
        <v>55</v>
      </c>
      <c r="B121" s="61">
        <f>226+28+28</f>
        <v>282</v>
      </c>
      <c r="C121" s="61">
        <v>4</v>
      </c>
      <c r="D121" s="61">
        <f>28+28</f>
        <v>56</v>
      </c>
      <c r="E121" s="54"/>
      <c r="F121" s="54"/>
      <c r="G121" s="54"/>
      <c r="H121" s="54"/>
      <c r="I121" s="56">
        <f t="shared" si="4"/>
        <v>10.199999999999999</v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25">
      <c r="A122" s="279">
        <v>60</v>
      </c>
      <c r="B122" s="61">
        <f>245+28</f>
        <v>273</v>
      </c>
      <c r="C122" s="61"/>
      <c r="D122" s="61"/>
      <c r="E122" s="54"/>
      <c r="F122" s="54"/>
      <c r="G122" s="54"/>
      <c r="H122" s="54"/>
      <c r="I122" s="56">
        <f t="shared" si="4"/>
        <v>9.4</v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25">
      <c r="A123" s="279">
        <v>65</v>
      </c>
      <c r="B123" s="61">
        <f>261+28+28</f>
        <v>317</v>
      </c>
      <c r="C123" s="61">
        <v>5</v>
      </c>
      <c r="D123" s="61">
        <f>28+28</f>
        <v>56</v>
      </c>
      <c r="E123" s="54"/>
      <c r="F123" s="54"/>
      <c r="G123" s="54"/>
      <c r="H123" s="54"/>
      <c r="I123" s="56">
        <f t="shared" si="4"/>
        <v>8.8000000000000007</v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25">
      <c r="A124" s="279">
        <v>70</v>
      </c>
      <c r="B124" s="61">
        <f>274+28</f>
        <v>302</v>
      </c>
      <c r="C124" s="61"/>
      <c r="D124" s="61"/>
      <c r="E124" s="54"/>
      <c r="F124" s="54"/>
      <c r="G124" s="54"/>
      <c r="H124" s="54"/>
      <c r="I124" s="56">
        <f t="shared" si="4"/>
        <v>8.1999999999999993</v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25">
      <c r="A125" s="279">
        <v>75</v>
      </c>
      <c r="B125" s="61">
        <f>284+28+28</f>
        <v>340</v>
      </c>
      <c r="C125" s="61">
        <v>6</v>
      </c>
      <c r="D125" s="61">
        <f>28+28</f>
        <v>56</v>
      </c>
      <c r="E125" s="54"/>
      <c r="F125" s="54"/>
      <c r="G125" s="54"/>
      <c r="H125" s="54"/>
      <c r="I125" s="56">
        <f t="shared" si="4"/>
        <v>7.6</v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25">
      <c r="A126" s="279">
        <v>80</v>
      </c>
      <c r="B126" s="61">
        <f>292+28</f>
        <v>320</v>
      </c>
      <c r="C126" s="61"/>
      <c r="D126" s="61"/>
      <c r="E126" s="54"/>
      <c r="F126" s="54"/>
      <c r="G126" s="54"/>
      <c r="H126" s="54"/>
      <c r="I126" s="56">
        <f t="shared" si="4"/>
        <v>7.2</v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25">
      <c r="A127" s="279">
        <v>90</v>
      </c>
      <c r="B127" s="61">
        <f>302+28+28+28</f>
        <v>386</v>
      </c>
      <c r="C127" s="61">
        <v>7</v>
      </c>
      <c r="D127" s="61">
        <f>28+28+28</f>
        <v>84</v>
      </c>
      <c r="E127" s="54"/>
      <c r="F127" s="54"/>
      <c r="G127" s="54"/>
      <c r="H127" s="54"/>
      <c r="I127" s="56">
        <f t="shared" si="4"/>
        <v>6.6</v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25">
      <c r="A128" s="279">
        <v>100</v>
      </c>
      <c r="B128" s="53">
        <v>361</v>
      </c>
      <c r="C128" s="53"/>
      <c r="D128" s="53"/>
      <c r="E128" s="54"/>
      <c r="F128" s="54"/>
      <c r="G128" s="54"/>
      <c r="H128" s="54"/>
      <c r="I128" s="56">
        <f t="shared" si="4"/>
        <v>5.9</v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25">
      <c r="A129" s="279">
        <v>110</v>
      </c>
      <c r="B129" s="53">
        <v>413</v>
      </c>
      <c r="C129" s="53">
        <v>8</v>
      </c>
      <c r="D129" s="53">
        <v>106</v>
      </c>
      <c r="E129" s="54"/>
      <c r="F129" s="54"/>
      <c r="G129" s="54"/>
      <c r="H129" s="54"/>
      <c r="I129" s="56">
        <f t="shared" si="4"/>
        <v>5.2</v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25">
      <c r="A130" s="279">
        <v>120</v>
      </c>
      <c r="B130" s="53">
        <v>352</v>
      </c>
      <c r="C130" s="53"/>
      <c r="D130" s="53"/>
      <c r="E130" s="54"/>
      <c r="F130" s="54"/>
      <c r="G130" s="54"/>
      <c r="H130" s="54"/>
      <c r="I130" s="56">
        <f t="shared" si="4"/>
        <v>4.5</v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25">
      <c r="A131" s="279">
        <v>130</v>
      </c>
      <c r="B131" s="53">
        <v>394</v>
      </c>
      <c r="C131" s="53">
        <v>9</v>
      </c>
      <c r="D131" s="53">
        <v>91</v>
      </c>
      <c r="E131" s="54"/>
      <c r="F131" s="54"/>
      <c r="G131" s="54"/>
      <c r="H131" s="54"/>
      <c r="I131" s="56">
        <f t="shared" si="4"/>
        <v>4.2</v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25">
      <c r="A132" s="279">
        <v>140</v>
      </c>
      <c r="B132" s="53">
        <v>341</v>
      </c>
      <c r="C132" s="53"/>
      <c r="D132" s="53"/>
      <c r="E132" s="54"/>
      <c r="F132" s="54"/>
      <c r="G132" s="54"/>
      <c r="H132" s="54"/>
      <c r="I132" s="56">
        <f t="shared" si="4"/>
        <v>3.8</v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25">
      <c r="A133" s="279">
        <v>150</v>
      </c>
      <c r="B133" s="53">
        <v>376</v>
      </c>
      <c r="C133" s="53">
        <v>10</v>
      </c>
      <c r="D133" s="53">
        <v>376</v>
      </c>
      <c r="E133" s="54"/>
      <c r="F133" s="54"/>
      <c r="G133" s="54"/>
      <c r="H133" s="54"/>
      <c r="I133" s="56">
        <f t="shared" si="4"/>
        <v>3.5</v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25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25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25">
      <c r="A136" s="49" t="s">
        <v>169</v>
      </c>
      <c r="B136" s="55" t="str">
        <f>IF(B13="","",B13)</f>
        <v>Cormier</v>
      </c>
      <c r="D136" s="255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25">
      <c r="A137" s="49"/>
      <c r="B137" s="101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25">
      <c r="A138" s="5"/>
      <c r="B138" s="88" t="s">
        <v>185</v>
      </c>
      <c r="C138" s="290" t="s">
        <v>186</v>
      </c>
      <c r="D138" s="290"/>
      <c r="E138" s="291" t="s">
        <v>187</v>
      </c>
      <c r="F138" s="292"/>
      <c r="G138" s="292"/>
      <c r="H138" s="293"/>
      <c r="I138" s="100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5" x14ac:dyDescent="0.25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25">
      <c r="A140" s="53">
        <v>20</v>
      </c>
      <c r="B140" s="61">
        <f>67+6</f>
        <v>73</v>
      </c>
      <c r="C140" s="61"/>
      <c r="D140" s="61"/>
      <c r="E140" s="54"/>
      <c r="F140" s="54"/>
      <c r="G140" s="54"/>
      <c r="H140" s="54"/>
      <c r="I140" s="59">
        <f>IFERROR(B140/A140,"")</f>
        <v>3.65</v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25">
      <c r="A141" s="53">
        <v>25</v>
      </c>
      <c r="B141" s="61">
        <f>75+6+28</f>
        <v>109</v>
      </c>
      <c r="C141" s="61">
        <v>1</v>
      </c>
      <c r="D141" s="61">
        <f>6+28</f>
        <v>34</v>
      </c>
      <c r="E141" s="54"/>
      <c r="F141" s="54"/>
      <c r="G141" s="54"/>
      <c r="H141" s="54">
        <v>1</v>
      </c>
      <c r="I141" s="59">
        <f t="shared" ref="I141:I159" si="5">IF(A141&lt;&gt;0,(B141-(B140-D140))/(A141-A140),"")</f>
        <v>7.2</v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25">
      <c r="A142" s="53">
        <v>30</v>
      </c>
      <c r="B142" s="61">
        <f>93+28</f>
        <v>121</v>
      </c>
      <c r="C142" s="61"/>
      <c r="D142" s="61"/>
      <c r="E142" s="54"/>
      <c r="F142" s="54"/>
      <c r="G142" s="54"/>
      <c r="H142" s="54"/>
      <c r="I142" s="59">
        <f t="shared" si="5"/>
        <v>9.1999999999999993</v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25">
      <c r="A143" s="53">
        <v>35</v>
      </c>
      <c r="B143" s="61">
        <f>119+28+28</f>
        <v>175</v>
      </c>
      <c r="C143" s="61">
        <v>2</v>
      </c>
      <c r="D143" s="61">
        <f>28+28</f>
        <v>56</v>
      </c>
      <c r="E143" s="54"/>
      <c r="F143" s="54"/>
      <c r="G143" s="54"/>
      <c r="H143" s="54"/>
      <c r="I143" s="59">
        <f t="shared" si="5"/>
        <v>10.8</v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25">
      <c r="A144" s="53">
        <v>40</v>
      </c>
      <c r="B144" s="61">
        <f>147+28</f>
        <v>175</v>
      </c>
      <c r="C144" s="61"/>
      <c r="D144" s="61"/>
      <c r="E144" s="54"/>
      <c r="F144" s="54"/>
      <c r="G144" s="54"/>
      <c r="H144" s="54"/>
      <c r="I144" s="59">
        <f t="shared" si="5"/>
        <v>11.2</v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25">
      <c r="A145" s="53">
        <v>45</v>
      </c>
      <c r="B145" s="61">
        <f>176+28+28</f>
        <v>232</v>
      </c>
      <c r="C145" s="61">
        <v>3</v>
      </c>
      <c r="D145" s="61">
        <f>28+28</f>
        <v>56</v>
      </c>
      <c r="E145" s="54"/>
      <c r="F145" s="54"/>
      <c r="G145" s="54"/>
      <c r="H145" s="54"/>
      <c r="I145" s="59">
        <f t="shared" si="5"/>
        <v>11.4</v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25">
      <c r="A146" s="53">
        <v>50</v>
      </c>
      <c r="B146" s="61">
        <f>203+28</f>
        <v>231</v>
      </c>
      <c r="C146" s="61"/>
      <c r="D146" s="61"/>
      <c r="E146" s="54"/>
      <c r="F146" s="54"/>
      <c r="G146" s="54"/>
      <c r="H146" s="54"/>
      <c r="I146" s="59">
        <f t="shared" si="5"/>
        <v>11</v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25">
      <c r="A147" s="279">
        <v>55</v>
      </c>
      <c r="B147" s="61">
        <f>226+28+28</f>
        <v>282</v>
      </c>
      <c r="C147" s="61">
        <v>4</v>
      </c>
      <c r="D147" s="61">
        <f>28+28</f>
        <v>56</v>
      </c>
      <c r="E147" s="54"/>
      <c r="F147" s="54"/>
      <c r="G147" s="54"/>
      <c r="H147" s="54"/>
      <c r="I147" s="59">
        <f>IF(A147&lt;&gt;0,(B147-(B146-D146))/(A147-A146),"")</f>
        <v>10.199999999999999</v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25">
      <c r="A148" s="279">
        <v>60</v>
      </c>
      <c r="B148" s="61">
        <f>245+28</f>
        <v>273</v>
      </c>
      <c r="C148" s="61"/>
      <c r="D148" s="61"/>
      <c r="E148" s="54"/>
      <c r="F148" s="54"/>
      <c r="G148" s="54"/>
      <c r="H148" s="54"/>
      <c r="I148" s="59">
        <f t="shared" si="5"/>
        <v>9.4</v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25">
      <c r="A149" s="279">
        <v>65</v>
      </c>
      <c r="B149" s="61">
        <f>261+28+28</f>
        <v>317</v>
      </c>
      <c r="C149" s="61">
        <v>5</v>
      </c>
      <c r="D149" s="61">
        <f>28+28</f>
        <v>56</v>
      </c>
      <c r="E149" s="54"/>
      <c r="F149" s="54"/>
      <c r="G149" s="54"/>
      <c r="H149" s="54"/>
      <c r="I149" s="59">
        <f t="shared" si="5"/>
        <v>8.8000000000000007</v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25">
      <c r="A150" s="279">
        <v>70</v>
      </c>
      <c r="B150" s="61">
        <f>274+28</f>
        <v>302</v>
      </c>
      <c r="C150" s="61"/>
      <c r="D150" s="61"/>
      <c r="E150" s="54"/>
      <c r="F150" s="54"/>
      <c r="G150" s="54"/>
      <c r="H150" s="54"/>
      <c r="I150" s="59">
        <f t="shared" si="5"/>
        <v>8.1999999999999993</v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25">
      <c r="A151" s="279">
        <v>75</v>
      </c>
      <c r="B151" s="61">
        <f>284+28+28</f>
        <v>340</v>
      </c>
      <c r="C151" s="61">
        <v>6</v>
      </c>
      <c r="D151" s="61">
        <f>28+28</f>
        <v>56</v>
      </c>
      <c r="E151" s="54"/>
      <c r="F151" s="54"/>
      <c r="G151" s="54"/>
      <c r="H151" s="54"/>
      <c r="I151" s="59">
        <f t="shared" si="5"/>
        <v>7.6</v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25">
      <c r="A152" s="279">
        <v>80</v>
      </c>
      <c r="B152" s="61">
        <f>292+28</f>
        <v>320</v>
      </c>
      <c r="C152" s="61"/>
      <c r="D152" s="61"/>
      <c r="E152" s="54"/>
      <c r="F152" s="54"/>
      <c r="G152" s="54"/>
      <c r="H152" s="54"/>
      <c r="I152" s="59">
        <f t="shared" si="5"/>
        <v>7.2</v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25">
      <c r="A153" s="279">
        <v>90</v>
      </c>
      <c r="B153" s="61">
        <f>302+28+28+28</f>
        <v>386</v>
      </c>
      <c r="C153" s="61">
        <v>7</v>
      </c>
      <c r="D153" s="61">
        <f>28+28+28</f>
        <v>84</v>
      </c>
      <c r="E153" s="54"/>
      <c r="F153" s="54"/>
      <c r="G153" s="54"/>
      <c r="H153" s="54"/>
      <c r="I153" s="59">
        <f t="shared" si="5"/>
        <v>6.6</v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25">
      <c r="A154" s="279">
        <v>100</v>
      </c>
      <c r="B154" s="53">
        <v>361</v>
      </c>
      <c r="C154" s="53"/>
      <c r="D154" s="53"/>
      <c r="E154" s="54"/>
      <c r="F154" s="54"/>
      <c r="G154" s="54"/>
      <c r="H154" s="54"/>
      <c r="I154" s="59">
        <f t="shared" si="5"/>
        <v>5.9</v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25">
      <c r="A155" s="279">
        <v>110</v>
      </c>
      <c r="B155" s="53">
        <v>413</v>
      </c>
      <c r="C155" s="53">
        <v>8</v>
      </c>
      <c r="D155" s="53">
        <v>106</v>
      </c>
      <c r="E155" s="54"/>
      <c r="F155" s="54"/>
      <c r="G155" s="54"/>
      <c r="H155" s="54"/>
      <c r="I155" s="59">
        <f t="shared" si="5"/>
        <v>5.2</v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25">
      <c r="A156" s="279">
        <v>120</v>
      </c>
      <c r="B156" s="53">
        <v>352</v>
      </c>
      <c r="C156" s="53"/>
      <c r="D156" s="53"/>
      <c r="E156" s="54"/>
      <c r="F156" s="54"/>
      <c r="G156" s="54"/>
      <c r="H156" s="54"/>
      <c r="I156" s="59">
        <f t="shared" si="5"/>
        <v>4.5</v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25">
      <c r="A157" s="279">
        <v>130</v>
      </c>
      <c r="B157" s="53">
        <v>394</v>
      </c>
      <c r="C157" s="53">
        <v>9</v>
      </c>
      <c r="D157" s="53">
        <v>91</v>
      </c>
      <c r="E157" s="54"/>
      <c r="F157" s="54"/>
      <c r="G157" s="54"/>
      <c r="H157" s="54"/>
      <c r="I157" s="59">
        <f t="shared" si="5"/>
        <v>4.2</v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25">
      <c r="A158" s="279">
        <v>140</v>
      </c>
      <c r="B158" s="53">
        <v>341</v>
      </c>
      <c r="C158" s="53"/>
      <c r="D158" s="53"/>
      <c r="E158" s="54"/>
      <c r="F158" s="54"/>
      <c r="G158" s="54"/>
      <c r="H158" s="54"/>
      <c r="I158" s="59">
        <f t="shared" si="5"/>
        <v>3.8</v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25">
      <c r="A159" s="279">
        <v>150</v>
      </c>
      <c r="B159" s="53">
        <v>376</v>
      </c>
      <c r="C159" s="53">
        <v>10</v>
      </c>
      <c r="D159" s="53">
        <v>376</v>
      </c>
      <c r="E159" s="54"/>
      <c r="F159" s="54"/>
      <c r="G159" s="54"/>
      <c r="H159" s="54"/>
      <c r="I159" s="59">
        <f t="shared" si="5"/>
        <v>3.5</v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25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25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25">
      <c r="A162" s="49" t="s">
        <v>170</v>
      </c>
      <c r="B162" s="55" t="str">
        <f>IF(B14="","",B14)</f>
        <v>Alisier torminal</v>
      </c>
      <c r="D162" s="255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25">
      <c r="A163" s="49"/>
      <c r="B163" s="101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25">
      <c r="A164" s="5"/>
      <c r="B164" s="88" t="s">
        <v>185</v>
      </c>
      <c r="C164" s="290" t="s">
        <v>186</v>
      </c>
      <c r="D164" s="290"/>
      <c r="E164" s="291" t="s">
        <v>187</v>
      </c>
      <c r="F164" s="292"/>
      <c r="G164" s="292"/>
      <c r="H164" s="293"/>
      <c r="I164" s="100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5" x14ac:dyDescent="0.25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25">
      <c r="A166" s="53">
        <v>20</v>
      </c>
      <c r="B166" s="61">
        <f>67+6</f>
        <v>73</v>
      </c>
      <c r="C166" s="61"/>
      <c r="D166" s="61"/>
      <c r="E166" s="54"/>
      <c r="F166" s="54"/>
      <c r="G166" s="54"/>
      <c r="H166" s="54"/>
      <c r="I166" s="52">
        <f>IFERROR(B166/A166,"")</f>
        <v>3.65</v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25">
      <c r="A167" s="53">
        <v>25</v>
      </c>
      <c r="B167" s="61">
        <f>75+6+28</f>
        <v>109</v>
      </c>
      <c r="C167" s="61">
        <v>1</v>
      </c>
      <c r="D167" s="61">
        <f>6+28</f>
        <v>34</v>
      </c>
      <c r="E167" s="54"/>
      <c r="F167" s="54"/>
      <c r="G167" s="54"/>
      <c r="H167" s="54">
        <v>1</v>
      </c>
      <c r="I167" s="52">
        <f t="shared" ref="I167:I185" si="6">IF(A167&lt;&gt;0,(B167-(B166-D166))/(A167-A166),"")</f>
        <v>7.2</v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25">
      <c r="A168" s="53">
        <v>30</v>
      </c>
      <c r="B168" s="61">
        <f>93+28</f>
        <v>121</v>
      </c>
      <c r="C168" s="61"/>
      <c r="D168" s="61"/>
      <c r="E168" s="54"/>
      <c r="F168" s="54"/>
      <c r="G168" s="54"/>
      <c r="H168" s="54"/>
      <c r="I168" s="52">
        <f t="shared" si="6"/>
        <v>9.1999999999999993</v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25">
      <c r="A169" s="53">
        <v>35</v>
      </c>
      <c r="B169" s="61">
        <f>119+28+28</f>
        <v>175</v>
      </c>
      <c r="C169" s="61">
        <v>2</v>
      </c>
      <c r="D169" s="61">
        <f>28+28</f>
        <v>56</v>
      </c>
      <c r="E169" s="54"/>
      <c r="F169" s="54"/>
      <c r="G169" s="54"/>
      <c r="H169" s="54"/>
      <c r="I169" s="52">
        <f t="shared" si="6"/>
        <v>10.8</v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25">
      <c r="A170" s="53">
        <v>40</v>
      </c>
      <c r="B170" s="61">
        <f>147+28</f>
        <v>175</v>
      </c>
      <c r="C170" s="61"/>
      <c r="D170" s="61"/>
      <c r="E170" s="54"/>
      <c r="F170" s="54"/>
      <c r="G170" s="54"/>
      <c r="H170" s="54"/>
      <c r="I170" s="52">
        <f t="shared" si="6"/>
        <v>11.2</v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25">
      <c r="A171" s="53">
        <v>45</v>
      </c>
      <c r="B171" s="61">
        <f>176+28+28</f>
        <v>232</v>
      </c>
      <c r="C171" s="61">
        <v>3</v>
      </c>
      <c r="D171" s="61">
        <f>28+28</f>
        <v>56</v>
      </c>
      <c r="E171" s="54"/>
      <c r="F171" s="54"/>
      <c r="G171" s="54"/>
      <c r="H171" s="54"/>
      <c r="I171" s="52">
        <f t="shared" si="6"/>
        <v>11.4</v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25">
      <c r="A172" s="53">
        <v>50</v>
      </c>
      <c r="B172" s="61">
        <f>203+28</f>
        <v>231</v>
      </c>
      <c r="C172" s="61"/>
      <c r="D172" s="61"/>
      <c r="E172" s="54"/>
      <c r="F172" s="54"/>
      <c r="G172" s="54"/>
      <c r="H172" s="54"/>
      <c r="I172" s="52">
        <f t="shared" si="6"/>
        <v>11</v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25">
      <c r="A173" s="279">
        <v>55</v>
      </c>
      <c r="B173" s="61">
        <f>226+28+28</f>
        <v>282</v>
      </c>
      <c r="C173" s="61">
        <v>4</v>
      </c>
      <c r="D173" s="61">
        <f>28+28</f>
        <v>56</v>
      </c>
      <c r="E173" s="54"/>
      <c r="F173" s="54"/>
      <c r="G173" s="54"/>
      <c r="H173" s="54"/>
      <c r="I173" s="52">
        <f t="shared" si="6"/>
        <v>10.199999999999999</v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25">
      <c r="A174" s="279">
        <v>60</v>
      </c>
      <c r="B174" s="61">
        <f>245+28</f>
        <v>273</v>
      </c>
      <c r="C174" s="61"/>
      <c r="D174" s="61"/>
      <c r="E174" s="54"/>
      <c r="F174" s="54"/>
      <c r="G174" s="54"/>
      <c r="H174" s="54"/>
      <c r="I174" s="52">
        <f t="shared" si="6"/>
        <v>9.4</v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25">
      <c r="A175" s="279">
        <v>65</v>
      </c>
      <c r="B175" s="61">
        <f>261+28+28</f>
        <v>317</v>
      </c>
      <c r="C175" s="61">
        <v>5</v>
      </c>
      <c r="D175" s="61">
        <f>28+28</f>
        <v>56</v>
      </c>
      <c r="E175" s="54"/>
      <c r="F175" s="54"/>
      <c r="G175" s="54"/>
      <c r="H175" s="54"/>
      <c r="I175" s="52">
        <f t="shared" si="6"/>
        <v>8.8000000000000007</v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25">
      <c r="A176" s="279">
        <v>70</v>
      </c>
      <c r="B176" s="61">
        <f>274+28</f>
        <v>302</v>
      </c>
      <c r="C176" s="61"/>
      <c r="D176" s="61"/>
      <c r="E176" s="54"/>
      <c r="F176" s="54"/>
      <c r="G176" s="54"/>
      <c r="H176" s="54"/>
      <c r="I176" s="52">
        <f t="shared" si="6"/>
        <v>8.1999999999999993</v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25">
      <c r="A177" s="279">
        <v>75</v>
      </c>
      <c r="B177" s="61">
        <f>284+28+28</f>
        <v>340</v>
      </c>
      <c r="C177" s="61">
        <v>6</v>
      </c>
      <c r="D177" s="61">
        <f>28+28</f>
        <v>56</v>
      </c>
      <c r="E177" s="54"/>
      <c r="F177" s="54"/>
      <c r="G177" s="54"/>
      <c r="H177" s="54"/>
      <c r="I177" s="52">
        <f t="shared" si="6"/>
        <v>7.6</v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25">
      <c r="A178" s="279">
        <v>80</v>
      </c>
      <c r="B178" s="61">
        <f>292+28</f>
        <v>320</v>
      </c>
      <c r="C178" s="61"/>
      <c r="D178" s="61"/>
      <c r="E178" s="54"/>
      <c r="F178" s="54"/>
      <c r="G178" s="54"/>
      <c r="H178" s="54"/>
      <c r="I178" s="52">
        <f t="shared" si="6"/>
        <v>7.2</v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25">
      <c r="A179" s="279">
        <v>90</v>
      </c>
      <c r="B179" s="61">
        <f>302+28+28+28</f>
        <v>386</v>
      </c>
      <c r="C179" s="61">
        <v>7</v>
      </c>
      <c r="D179" s="61">
        <f>28+28+28</f>
        <v>84</v>
      </c>
      <c r="E179" s="54"/>
      <c r="F179" s="54"/>
      <c r="G179" s="54"/>
      <c r="H179" s="54"/>
      <c r="I179" s="52">
        <f t="shared" si="6"/>
        <v>6.6</v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25">
      <c r="A180" s="279">
        <v>100</v>
      </c>
      <c r="B180" s="53">
        <v>361</v>
      </c>
      <c r="C180" s="53"/>
      <c r="D180" s="53"/>
      <c r="E180" s="54"/>
      <c r="F180" s="54"/>
      <c r="G180" s="54"/>
      <c r="H180" s="54"/>
      <c r="I180" s="52">
        <f t="shared" si="6"/>
        <v>5.9</v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25">
      <c r="A181" s="279">
        <v>110</v>
      </c>
      <c r="B181" s="53">
        <v>413</v>
      </c>
      <c r="C181" s="53">
        <v>8</v>
      </c>
      <c r="D181" s="53">
        <v>106</v>
      </c>
      <c r="E181" s="54"/>
      <c r="F181" s="54"/>
      <c r="G181" s="54"/>
      <c r="H181" s="54"/>
      <c r="I181" s="52">
        <f t="shared" si="6"/>
        <v>5.2</v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25">
      <c r="A182" s="279">
        <v>120</v>
      </c>
      <c r="B182" s="53">
        <v>352</v>
      </c>
      <c r="C182" s="53"/>
      <c r="D182" s="53"/>
      <c r="E182" s="54"/>
      <c r="F182" s="54"/>
      <c r="G182" s="54"/>
      <c r="H182" s="54"/>
      <c r="I182" s="52">
        <f t="shared" si="6"/>
        <v>4.5</v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25">
      <c r="A183" s="279">
        <v>130</v>
      </c>
      <c r="B183" s="53">
        <v>394</v>
      </c>
      <c r="C183" s="53">
        <v>9</v>
      </c>
      <c r="D183" s="53">
        <v>91</v>
      </c>
      <c r="E183" s="54"/>
      <c r="F183" s="54"/>
      <c r="G183" s="54"/>
      <c r="H183" s="54"/>
      <c r="I183" s="52">
        <f t="shared" si="6"/>
        <v>4.2</v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25">
      <c r="A184" s="279">
        <v>140</v>
      </c>
      <c r="B184" s="53">
        <v>341</v>
      </c>
      <c r="C184" s="53"/>
      <c r="D184" s="53"/>
      <c r="E184" s="54"/>
      <c r="F184" s="54"/>
      <c r="G184" s="54"/>
      <c r="H184" s="54"/>
      <c r="I184" s="52">
        <f t="shared" si="6"/>
        <v>3.8</v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25">
      <c r="A185" s="279">
        <v>150</v>
      </c>
      <c r="B185" s="53">
        <v>376</v>
      </c>
      <c r="C185" s="53">
        <v>10</v>
      </c>
      <c r="D185" s="53">
        <v>376</v>
      </c>
      <c r="E185" s="54"/>
      <c r="F185" s="54"/>
      <c r="G185" s="54"/>
      <c r="H185" s="54"/>
      <c r="I185" s="52">
        <f t="shared" si="6"/>
        <v>3.5</v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25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25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25">
      <c r="A188" s="49" t="s">
        <v>171</v>
      </c>
      <c r="B188" s="55" t="str">
        <f>IF(B15="","",B15)</f>
        <v>Merisier</v>
      </c>
      <c r="D188" s="255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25">
      <c r="A189" s="49"/>
      <c r="B189" s="101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25">
      <c r="A190" s="5"/>
      <c r="B190" s="88" t="s">
        <v>185</v>
      </c>
      <c r="C190" s="290" t="s">
        <v>186</v>
      </c>
      <c r="D190" s="290"/>
      <c r="E190" s="291" t="s">
        <v>187</v>
      </c>
      <c r="F190" s="292"/>
      <c r="G190" s="292"/>
      <c r="H190" s="293"/>
      <c r="I190" s="100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5" x14ac:dyDescent="0.25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25">
      <c r="A192" s="53">
        <v>15</v>
      </c>
      <c r="B192" s="61">
        <v>40</v>
      </c>
      <c r="C192" s="53"/>
      <c r="D192" s="61"/>
      <c r="E192" s="64"/>
      <c r="F192" s="64"/>
      <c r="G192" s="64"/>
      <c r="H192" s="64"/>
      <c r="I192" s="52">
        <f>IFERROR(B192/A192,"")</f>
        <v>2.6666666666666665</v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25">
      <c r="A193" s="53">
        <v>20</v>
      </c>
      <c r="B193" s="61">
        <f>85+3</f>
        <v>88</v>
      </c>
      <c r="C193" s="53"/>
      <c r="D193" s="61"/>
      <c r="E193" s="64"/>
      <c r="F193" s="64"/>
      <c r="G193" s="64"/>
      <c r="H193" s="64"/>
      <c r="I193" s="52">
        <f t="shared" ref="I193:I211" si="7">IF(A193&lt;&gt;0,(B193-(B192-D192))/(A193-A192),"")</f>
        <v>9.6</v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25">
      <c r="A194" s="53">
        <v>25</v>
      </c>
      <c r="B194" s="61">
        <f>113+3+25</f>
        <v>141</v>
      </c>
      <c r="C194" s="53">
        <v>1</v>
      </c>
      <c r="D194" s="61">
        <f>3+25+27</f>
        <v>55</v>
      </c>
      <c r="E194" s="64"/>
      <c r="F194" s="64"/>
      <c r="G194" s="64"/>
      <c r="H194" s="64">
        <v>1</v>
      </c>
      <c r="I194" s="52">
        <f t="shared" si="7"/>
        <v>10.6</v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25">
      <c r="A195" s="58">
        <v>31</v>
      </c>
      <c r="B195" s="58">
        <v>155</v>
      </c>
      <c r="C195" s="58">
        <v>2</v>
      </c>
      <c r="D195" s="58">
        <v>36</v>
      </c>
      <c r="E195" s="64"/>
      <c r="F195" s="64"/>
      <c r="G195" s="64"/>
      <c r="H195" s="64"/>
      <c r="I195" s="52">
        <f t="shared" si="7"/>
        <v>11.5</v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25">
      <c r="A196" s="58">
        <v>37</v>
      </c>
      <c r="B196" s="58">
        <v>188</v>
      </c>
      <c r="C196" s="58">
        <v>3</v>
      </c>
      <c r="D196" s="58">
        <v>36</v>
      </c>
      <c r="E196" s="64"/>
      <c r="F196" s="64"/>
      <c r="G196" s="64"/>
      <c r="H196" s="64"/>
      <c r="I196" s="52">
        <f t="shared" si="7"/>
        <v>11.5</v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25">
      <c r="A197" s="58">
        <v>44</v>
      </c>
      <c r="B197" s="58">
        <v>230</v>
      </c>
      <c r="C197" s="58">
        <v>4</v>
      </c>
      <c r="D197" s="58">
        <v>43</v>
      </c>
      <c r="E197" s="64"/>
      <c r="F197" s="64"/>
      <c r="G197" s="64"/>
      <c r="H197" s="64"/>
      <c r="I197" s="52">
        <f t="shared" si="7"/>
        <v>11.142857142857142</v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25">
      <c r="A198" s="58">
        <v>52</v>
      </c>
      <c r="B198" s="58">
        <v>270</v>
      </c>
      <c r="C198" s="58">
        <v>5</v>
      </c>
      <c r="D198" s="58">
        <v>48</v>
      </c>
      <c r="E198" s="64"/>
      <c r="F198" s="64"/>
      <c r="G198" s="64"/>
      <c r="H198" s="64"/>
      <c r="I198" s="52">
        <f t="shared" si="7"/>
        <v>10.375</v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25">
      <c r="A199" s="58">
        <v>60</v>
      </c>
      <c r="B199" s="58">
        <v>297</v>
      </c>
      <c r="C199" s="58">
        <v>6</v>
      </c>
      <c r="D199" s="58">
        <v>47</v>
      </c>
      <c r="E199" s="64"/>
      <c r="F199" s="64"/>
      <c r="G199" s="64"/>
      <c r="H199" s="64"/>
      <c r="I199" s="52">
        <f t="shared" si="7"/>
        <v>9.375</v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25">
      <c r="A200" s="58">
        <v>69</v>
      </c>
      <c r="B200" s="58">
        <v>328</v>
      </c>
      <c r="C200" s="58">
        <v>7</v>
      </c>
      <c r="D200" s="58">
        <v>328</v>
      </c>
      <c r="E200" s="64"/>
      <c r="F200" s="64"/>
      <c r="G200" s="64"/>
      <c r="H200" s="64"/>
      <c r="I200" s="52">
        <f t="shared" si="7"/>
        <v>8.6666666666666661</v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25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25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25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25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25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25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25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25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25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25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25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25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25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25">
      <c r="A214" s="49" t="s">
        <v>172</v>
      </c>
      <c r="B214" s="55" t="str">
        <f>IF(B16="","",B16)</f>
        <v/>
      </c>
      <c r="D214" s="255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25">
      <c r="A215" s="49"/>
      <c r="B215" s="101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25">
      <c r="A216" s="5"/>
      <c r="B216" s="88" t="s">
        <v>185</v>
      </c>
      <c r="C216" s="290" t="s">
        <v>186</v>
      </c>
      <c r="D216" s="290"/>
      <c r="E216" s="291" t="s">
        <v>187</v>
      </c>
      <c r="F216" s="292"/>
      <c r="G216" s="292"/>
      <c r="H216" s="293"/>
      <c r="I216" s="100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5" x14ac:dyDescent="0.25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25">
      <c r="A218" s="53"/>
      <c r="B218" s="61"/>
      <c r="C218" s="53"/>
      <c r="D218" s="61"/>
      <c r="E218" s="64"/>
      <c r="F218" s="64"/>
      <c r="G218" s="64"/>
      <c r="H218" s="64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25">
      <c r="A219" s="53"/>
      <c r="B219" s="61"/>
      <c r="C219" s="53"/>
      <c r="D219" s="61"/>
      <c r="E219" s="64"/>
      <c r="F219" s="64"/>
      <c r="G219" s="64"/>
      <c r="H219" s="64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25">
      <c r="A220" s="53"/>
      <c r="B220" s="61"/>
      <c r="C220" s="53"/>
      <c r="D220" s="61"/>
      <c r="E220" s="64"/>
      <c r="F220" s="64"/>
      <c r="G220" s="64"/>
      <c r="H220" s="64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25">
      <c r="A221" s="58"/>
      <c r="B221" s="58"/>
      <c r="C221" s="58"/>
      <c r="D221" s="58"/>
      <c r="E221" s="64"/>
      <c r="F221" s="64"/>
      <c r="G221" s="64"/>
      <c r="H221" s="64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25">
      <c r="A222" s="58"/>
      <c r="B222" s="58"/>
      <c r="C222" s="58"/>
      <c r="D222" s="58"/>
      <c r="E222" s="64"/>
      <c r="F222" s="64"/>
      <c r="G222" s="64"/>
      <c r="H222" s="64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25">
      <c r="A223" s="58"/>
      <c r="B223" s="58"/>
      <c r="C223" s="58"/>
      <c r="D223" s="58"/>
      <c r="E223" s="64"/>
      <c r="F223" s="64"/>
      <c r="G223" s="64"/>
      <c r="H223" s="64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25">
      <c r="A224" s="58"/>
      <c r="B224" s="58"/>
      <c r="C224" s="58"/>
      <c r="D224" s="58"/>
      <c r="E224" s="64"/>
      <c r="F224" s="64"/>
      <c r="G224" s="64"/>
      <c r="H224" s="64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25">
      <c r="A225" s="58"/>
      <c r="B225" s="58"/>
      <c r="C225" s="58"/>
      <c r="D225" s="58"/>
      <c r="E225" s="64"/>
      <c r="F225" s="64"/>
      <c r="G225" s="64"/>
      <c r="H225" s="64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25">
      <c r="A226" s="58"/>
      <c r="B226" s="58"/>
      <c r="C226" s="58"/>
      <c r="D226" s="58"/>
      <c r="E226" s="64"/>
      <c r="F226" s="64"/>
      <c r="G226" s="64"/>
      <c r="H226" s="64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25">
      <c r="A227" s="58"/>
      <c r="B227" s="58"/>
      <c r="C227" s="58"/>
      <c r="D227" s="58"/>
      <c r="E227" s="64"/>
      <c r="F227" s="64"/>
      <c r="G227" s="64"/>
      <c r="H227" s="64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25">
      <c r="A228" s="58"/>
      <c r="B228" s="58"/>
      <c r="C228" s="58"/>
      <c r="D228" s="58"/>
      <c r="E228" s="64"/>
      <c r="F228" s="64"/>
      <c r="G228" s="64"/>
      <c r="H228" s="64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25">
      <c r="A229" s="58"/>
      <c r="B229" s="58"/>
      <c r="C229" s="58"/>
      <c r="D229" s="58"/>
      <c r="E229" s="64"/>
      <c r="F229" s="64"/>
      <c r="G229" s="64"/>
      <c r="H229" s="64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25">
      <c r="A230" s="58"/>
      <c r="B230" s="58"/>
      <c r="C230" s="58"/>
      <c r="D230" s="58"/>
      <c r="E230" s="65"/>
      <c r="F230" s="65"/>
      <c r="G230" s="65"/>
      <c r="H230" s="65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25">
      <c r="A231" s="90"/>
      <c r="B231" s="61"/>
      <c r="C231" s="90"/>
      <c r="D231" s="61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25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25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25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25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25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25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25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25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25">
      <c r="A240" s="49" t="s">
        <v>173</v>
      </c>
      <c r="B240" s="55" t="str">
        <f>IF(B17="","",B17)</f>
        <v/>
      </c>
      <c r="D240" s="255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25">
      <c r="A241" s="49"/>
      <c r="B241" s="101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25">
      <c r="A242" s="5"/>
      <c r="B242" s="88" t="s">
        <v>185</v>
      </c>
      <c r="C242" s="290" t="s">
        <v>186</v>
      </c>
      <c r="D242" s="290"/>
      <c r="E242" s="291" t="s">
        <v>187</v>
      </c>
      <c r="F242" s="292"/>
      <c r="G242" s="292"/>
      <c r="H242" s="293"/>
      <c r="I242" s="100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5" x14ac:dyDescent="0.25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25">
      <c r="A244" s="53"/>
      <c r="B244" s="61"/>
      <c r="C244" s="61"/>
      <c r="D244" s="61"/>
      <c r="E244" s="54"/>
      <c r="F244" s="54"/>
      <c r="G244" s="54"/>
      <c r="H244" s="64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25">
      <c r="A245" s="53"/>
      <c r="B245" s="61"/>
      <c r="C245" s="61"/>
      <c r="D245" s="61"/>
      <c r="E245" s="64"/>
      <c r="F245" s="64"/>
      <c r="G245" s="64"/>
      <c r="H245" s="64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25">
      <c r="A246" s="53"/>
      <c r="B246" s="61"/>
      <c r="C246" s="61"/>
      <c r="D246" s="61"/>
      <c r="E246" s="64"/>
      <c r="F246" s="64"/>
      <c r="G246" s="64"/>
      <c r="H246" s="64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25">
      <c r="A247" s="53"/>
      <c r="B247" s="61"/>
      <c r="C247" s="61"/>
      <c r="D247" s="61"/>
      <c r="E247" s="64"/>
      <c r="F247" s="64"/>
      <c r="G247" s="64"/>
      <c r="H247" s="64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25">
      <c r="A248" s="53"/>
      <c r="B248" s="61"/>
      <c r="C248" s="61"/>
      <c r="D248" s="61"/>
      <c r="E248" s="64"/>
      <c r="F248" s="64"/>
      <c r="G248" s="64"/>
      <c r="H248" s="64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25">
      <c r="A249" s="53"/>
      <c r="B249" s="61"/>
      <c r="C249" s="61"/>
      <c r="D249" s="61"/>
      <c r="E249" s="64"/>
      <c r="F249" s="64"/>
      <c r="G249" s="64"/>
      <c r="H249" s="64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25">
      <c r="A250" s="53"/>
      <c r="B250" s="61"/>
      <c r="C250" s="61"/>
      <c r="D250" s="61"/>
      <c r="E250" s="64"/>
      <c r="F250" s="64"/>
      <c r="G250" s="64"/>
      <c r="H250" s="64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25">
      <c r="A251" s="58"/>
      <c r="B251" s="58"/>
      <c r="C251" s="58"/>
      <c r="D251" s="58"/>
      <c r="E251" s="64"/>
      <c r="F251" s="64"/>
      <c r="G251" s="64"/>
      <c r="H251" s="64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25">
      <c r="A252" s="58"/>
      <c r="B252" s="58"/>
      <c r="C252" s="58"/>
      <c r="D252" s="58"/>
      <c r="E252" s="64"/>
      <c r="F252" s="64"/>
      <c r="G252" s="64"/>
      <c r="H252" s="64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25">
      <c r="A253" s="58"/>
      <c r="B253" s="58"/>
      <c r="C253" s="58"/>
      <c r="D253" s="58"/>
      <c r="E253" s="64"/>
      <c r="F253" s="64"/>
      <c r="G253" s="64"/>
      <c r="H253" s="64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25">
      <c r="A254" s="58"/>
      <c r="B254" s="58"/>
      <c r="C254" s="58"/>
      <c r="D254" s="58"/>
      <c r="E254" s="64"/>
      <c r="F254" s="64"/>
      <c r="G254" s="64"/>
      <c r="H254" s="64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25">
      <c r="A255" s="58"/>
      <c r="B255" s="58"/>
      <c r="C255" s="58"/>
      <c r="D255" s="58"/>
      <c r="E255" s="64"/>
      <c r="F255" s="64"/>
      <c r="G255" s="64"/>
      <c r="H255" s="64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25">
      <c r="A256" s="58"/>
      <c r="B256" s="58"/>
      <c r="C256" s="58"/>
      <c r="D256" s="58"/>
      <c r="E256" s="65"/>
      <c r="F256" s="65"/>
      <c r="G256" s="65"/>
      <c r="H256" s="65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25">
      <c r="A257" s="90"/>
      <c r="B257" s="61"/>
      <c r="C257" s="90"/>
      <c r="D257" s="61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25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25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25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25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25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25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25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25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25">
      <c r="A266" s="49" t="s">
        <v>174</v>
      </c>
      <c r="B266" s="55" t="str">
        <f>IF(B18="","",B18)</f>
        <v/>
      </c>
      <c r="D266" s="255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25">
      <c r="A267" s="49"/>
      <c r="B267" s="101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25">
      <c r="A268" s="5"/>
      <c r="B268" s="88" t="s">
        <v>185</v>
      </c>
      <c r="C268" s="290" t="s">
        <v>186</v>
      </c>
      <c r="D268" s="290"/>
      <c r="E268" s="291" t="s">
        <v>187</v>
      </c>
      <c r="F268" s="292"/>
      <c r="G268" s="292"/>
      <c r="H268" s="293"/>
      <c r="I268" s="100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5" x14ac:dyDescent="0.25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25">
      <c r="A270" s="53"/>
      <c r="B270" s="61"/>
      <c r="C270" s="53"/>
      <c r="D270" s="61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25">
      <c r="A271" s="53"/>
      <c r="B271" s="61"/>
      <c r="C271" s="53"/>
      <c r="D271" s="61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25">
      <c r="A272" s="53"/>
      <c r="B272" s="61"/>
      <c r="C272" s="53"/>
      <c r="D272" s="61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25">
      <c r="A273" s="53"/>
      <c r="B273" s="61"/>
      <c r="C273" s="53"/>
      <c r="D273" s="61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25">
      <c r="A274" s="53"/>
      <c r="B274" s="61"/>
      <c r="C274" s="53"/>
      <c r="D274" s="61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25">
      <c r="A275" s="53"/>
      <c r="B275" s="61"/>
      <c r="C275" s="53"/>
      <c r="D275" s="61"/>
      <c r="E275" s="64"/>
      <c r="F275" s="64"/>
      <c r="G275" s="64"/>
      <c r="H275" s="64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25">
      <c r="A276" s="53"/>
      <c r="B276" s="61"/>
      <c r="C276" s="53"/>
      <c r="D276" s="61"/>
      <c r="E276" s="64"/>
      <c r="F276" s="64"/>
      <c r="G276" s="64"/>
      <c r="H276" s="64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25">
      <c r="A277" s="58"/>
      <c r="B277" s="58"/>
      <c r="C277" s="58"/>
      <c r="D277" s="58"/>
      <c r="E277" s="64"/>
      <c r="F277" s="64"/>
      <c r="G277" s="64"/>
      <c r="H277" s="64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25">
      <c r="A278" s="58"/>
      <c r="B278" s="58"/>
      <c r="C278" s="58"/>
      <c r="D278" s="58"/>
      <c r="E278" s="64"/>
      <c r="F278" s="64"/>
      <c r="G278" s="64"/>
      <c r="H278" s="64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25">
      <c r="A279" s="58"/>
      <c r="B279" s="58"/>
      <c r="C279" s="58"/>
      <c r="D279" s="58"/>
      <c r="E279" s="64"/>
      <c r="F279" s="64"/>
      <c r="G279" s="64"/>
      <c r="H279" s="64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25">
      <c r="A280" s="58"/>
      <c r="B280" s="58"/>
      <c r="C280" s="58"/>
      <c r="D280" s="58"/>
      <c r="E280" s="64"/>
      <c r="F280" s="64"/>
      <c r="G280" s="64"/>
      <c r="H280" s="64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25">
      <c r="A281" s="58"/>
      <c r="B281" s="58"/>
      <c r="C281" s="58"/>
      <c r="D281" s="58"/>
      <c r="E281" s="64"/>
      <c r="F281" s="64"/>
      <c r="G281" s="64"/>
      <c r="H281" s="64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25">
      <c r="A282" s="58"/>
      <c r="B282" s="58"/>
      <c r="C282" s="58"/>
      <c r="D282" s="58"/>
      <c r="E282" s="65"/>
      <c r="F282" s="65"/>
      <c r="G282" s="65"/>
      <c r="H282" s="65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25">
      <c r="A283" s="90"/>
      <c r="B283" s="61"/>
      <c r="C283" s="90"/>
      <c r="D283" s="61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25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25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25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25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25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25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25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25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25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25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25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25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25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25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25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25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25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25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25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25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25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25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25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25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25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25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25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25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25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25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25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25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25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25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25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25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25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25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25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25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25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25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25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25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25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25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25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25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25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25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25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25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25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25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25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25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25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25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25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25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25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25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25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25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25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25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25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25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25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25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25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25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25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25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25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25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25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25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25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25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25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25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25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25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25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25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25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25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25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25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25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25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25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25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25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25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25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25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25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25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25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25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25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25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25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25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25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25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25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25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25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25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25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25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25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25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25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25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25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25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25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25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25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25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25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25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25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25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25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25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25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25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25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25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25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25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25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25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25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25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25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25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25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25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>
      <formula1>VAN</formula1>
    </dataValidation>
    <dataValidation type="list" allowBlank="1" showInputMessage="1" showErrorMessage="1" sqref="C26">
      <formula1>Incendie</formula1>
    </dataValidation>
    <dataValidation type="list" allowBlank="1" showInputMessage="1" showErrorMessage="1" sqref="C27">
      <formula1>Fertilité</formula1>
    </dataValidation>
  </dataValidations>
  <hyperlinks>
    <hyperlink ref="A9" location="'Données projet'!A44" tooltip="Table de production à compléter ci-dessous" display="Essence 1"/>
    <hyperlink ref="A10" location="'Données projet'!A70" tooltip="Table de production à compléter ci-dessous" display="Essence 2"/>
    <hyperlink ref="A11" location="'Données projet'!A96" tooltip="Table de production à compléter ci-dessous" display="Essence 3"/>
    <hyperlink ref="A12" location="'Données projet'!A122" tooltip="Table de production à compléter ci-dessous" display="Essence 4"/>
    <hyperlink ref="A13" location="'Données projet'!A148" tooltip="Table de production à compléter ci-dessous" display="Essence 5"/>
    <hyperlink ref="A14" location="'Données projet'!A174" tooltip="Table de production à compléter ci-dessous" display="Essence 6"/>
    <hyperlink ref="A15" location="'Données projet'!A202" tooltip="Table de production à compléter ci-dessous" display="Essence 7"/>
    <hyperlink ref="A16" location="'Données projet'!A228" tooltip="Table de production à compléter ci-dessous" display="Essence 8"/>
    <hyperlink ref="A17" location="'Données projet'!A254" tooltip="Table de production à compléter ci-dessous" display="Essence 9"/>
    <hyperlink ref="A18" location="'Données projet'!A280" tooltip="Table de production à compléter ci-dessous" display="Essence 10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Paramètres!$A$2:$A$87</xm:f>
          </x14:formula1>
          <xm:sqref>B10:B18</xm:sqref>
        </x14:dataValidation>
        <x14:dataValidation type="list" allowBlank="1" showInputMessage="1" showErrorMessage="1">
          <x14:formula1>
            <xm:f>Paramètres!$A$2:$A$87</xm:f>
          </x14:formula1>
          <xm:sqref>B9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"/>
  <dimension ref="A1:AL163"/>
  <sheetViews>
    <sheetView zoomScaleNormal="100" workbookViewId="0">
      <selection activeCell="B18" sqref="B18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5"/>
      <c r="B1" s="5"/>
      <c r="C1" s="5"/>
      <c r="D1" s="5"/>
      <c r="E1" s="5"/>
      <c r="F1" s="5"/>
      <c r="G1" s="5"/>
      <c r="H1" s="5"/>
      <c r="I1" s="5"/>
      <c r="J1" s="102"/>
      <c r="K1" s="102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7" thickBot="1" x14ac:dyDescent="0.45">
      <c r="A2" s="5"/>
      <c r="B2" s="304" t="s">
        <v>191</v>
      </c>
      <c r="C2" s="305"/>
      <c r="D2" s="305"/>
      <c r="E2" s="305"/>
      <c r="F2" s="305"/>
      <c r="G2" s="306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25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25">
      <c r="A4" s="5"/>
      <c r="B4" s="303"/>
      <c r="C4" s="303"/>
      <c r="D4" s="303"/>
      <c r="E4" s="303"/>
      <c r="F4" s="303"/>
      <c r="G4" s="303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25">
      <c r="A5" s="5"/>
      <c r="B5" s="103" t="s">
        <v>296</v>
      </c>
      <c r="C5" s="103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25">
      <c r="A6" s="25"/>
      <c r="B6" s="233"/>
      <c r="C6" s="233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25">
      <c r="A7" s="104"/>
      <c r="B7" s="29" t="s">
        <v>295</v>
      </c>
      <c r="C7" s="105" t="s">
        <v>214</v>
      </c>
      <c r="D7" s="231"/>
      <c r="E7" s="106"/>
      <c r="F7" s="29" t="s">
        <v>295</v>
      </c>
      <c r="G7" s="105" t="s">
        <v>215</v>
      </c>
      <c r="H7" s="232"/>
      <c r="I7" s="232"/>
      <c r="J7" s="232"/>
      <c r="K7" s="232"/>
      <c r="L7" s="104"/>
      <c r="M7" s="104"/>
      <c r="N7" s="104"/>
      <c r="O7" s="104"/>
      <c r="P7" s="104"/>
      <c r="Q7" s="104"/>
      <c r="R7" s="104"/>
      <c r="S7" s="104"/>
      <c r="T7" s="104"/>
      <c r="U7" s="104"/>
      <c r="V7" s="104"/>
      <c r="W7" s="104"/>
      <c r="X7" s="104"/>
      <c r="Y7" s="104"/>
      <c r="Z7" s="104"/>
      <c r="AA7" s="104"/>
      <c r="AB7" s="104"/>
      <c r="AC7" s="104"/>
      <c r="AD7" s="104"/>
      <c r="AE7" s="104"/>
      <c r="AF7" s="104"/>
      <c r="AG7" s="104"/>
      <c r="AH7" s="104"/>
      <c r="AI7" s="104"/>
      <c r="AJ7" s="104"/>
      <c r="AK7" s="104"/>
      <c r="AL7" s="104"/>
    </row>
    <row r="8" spans="1:38" ht="17.25" customHeight="1" x14ac:dyDescent="0.25">
      <c r="A8" s="110">
        <v>1</v>
      </c>
      <c r="B8" s="62">
        <v>1</v>
      </c>
      <c r="C8" s="52" t="s">
        <v>177</v>
      </c>
      <c r="D8" s="25"/>
      <c r="E8" s="110">
        <v>4</v>
      </c>
      <c r="F8" s="62">
        <v>0</v>
      </c>
      <c r="G8" s="107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25">
      <c r="A9" s="110">
        <v>2</v>
      </c>
      <c r="B9" s="62">
        <v>0</v>
      </c>
      <c r="C9" s="113" t="s">
        <v>216</v>
      </c>
      <c r="D9" s="25"/>
      <c r="E9" s="110">
        <v>5</v>
      </c>
      <c r="F9" s="62">
        <v>0</v>
      </c>
      <c r="G9" s="108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25">
      <c r="A10" s="110">
        <v>3</v>
      </c>
      <c r="B10" s="62">
        <v>0</v>
      </c>
      <c r="C10" s="114" t="s">
        <v>217</v>
      </c>
      <c r="D10" s="25"/>
      <c r="E10" s="5"/>
      <c r="F10" s="111">
        <f>SUM(F7:F9)</f>
        <v>0</v>
      </c>
      <c r="G10" s="109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25">
      <c r="A11" s="25"/>
      <c r="B11" s="111">
        <v>0</v>
      </c>
      <c r="C11" s="109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25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25">
      <c r="A13" s="232"/>
      <c r="B13" s="112"/>
      <c r="C13" s="103" t="s">
        <v>273</v>
      </c>
      <c r="D13" s="232"/>
      <c r="E13" s="104"/>
      <c r="F13" s="112"/>
      <c r="G13" s="103" t="s">
        <v>301</v>
      </c>
      <c r="H13" s="232"/>
      <c r="I13" s="232"/>
      <c r="J13" s="232"/>
      <c r="K13" s="232"/>
      <c r="L13" s="104"/>
      <c r="M13" s="104"/>
      <c r="N13" s="104"/>
      <c r="O13" s="104"/>
      <c r="P13" s="104"/>
      <c r="Q13" s="104"/>
      <c r="R13" s="104"/>
      <c r="S13" s="104"/>
      <c r="T13" s="104"/>
      <c r="U13" s="104"/>
      <c r="V13" s="104"/>
      <c r="W13" s="104"/>
      <c r="X13" s="104"/>
      <c r="Y13" s="104"/>
      <c r="Z13" s="104"/>
      <c r="AA13" s="104"/>
      <c r="AB13" s="104"/>
      <c r="AC13" s="104"/>
      <c r="AD13" s="104"/>
      <c r="AE13" s="104"/>
      <c r="AF13" s="104"/>
      <c r="AG13" s="104"/>
      <c r="AH13" s="104"/>
    </row>
    <row r="14" spans="1:38" s="4" customFormat="1" ht="21" customHeight="1" x14ac:dyDescent="0.25">
      <c r="A14" s="232"/>
      <c r="B14" s="112"/>
      <c r="C14" s="103" t="s">
        <v>309</v>
      </c>
      <c r="D14" s="232"/>
      <c r="E14" s="104"/>
      <c r="F14" s="112"/>
      <c r="G14" s="103" t="s">
        <v>294</v>
      </c>
      <c r="H14" s="232"/>
      <c r="I14" s="232"/>
      <c r="J14" s="232"/>
      <c r="K14" s="232"/>
      <c r="L14" s="104"/>
      <c r="M14" s="104"/>
      <c r="N14" s="104"/>
      <c r="O14" s="104"/>
      <c r="P14" s="104"/>
      <c r="Q14" s="104"/>
      <c r="R14" s="104"/>
      <c r="S14" s="104"/>
      <c r="T14" s="104"/>
      <c r="U14" s="104"/>
      <c r="V14" s="104"/>
      <c r="W14" s="104"/>
      <c r="X14" s="104"/>
      <c r="Y14" s="104"/>
      <c r="Z14" s="104"/>
      <c r="AA14" s="104"/>
      <c r="AB14" s="104"/>
      <c r="AC14" s="104"/>
      <c r="AD14" s="104"/>
      <c r="AE14" s="104"/>
      <c r="AF14" s="104"/>
      <c r="AG14" s="104"/>
      <c r="AH14" s="104"/>
    </row>
    <row r="15" spans="1:38" x14ac:dyDescent="0.25">
      <c r="A15" s="25"/>
      <c r="B15" s="29" t="s">
        <v>295</v>
      </c>
      <c r="C15" s="5"/>
      <c r="D15" s="25"/>
      <c r="E15" s="5"/>
      <c r="F15" s="5"/>
      <c r="G15" s="2" t="s">
        <v>148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25">
      <c r="A16" s="25"/>
      <c r="B16" s="62">
        <v>0</v>
      </c>
      <c r="C16" s="115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25">
      <c r="A17" s="25"/>
      <c r="B17" s="62">
        <v>1</v>
      </c>
      <c r="C17" s="115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25">
      <c r="A18" s="25"/>
      <c r="B18" s="62">
        <v>0</v>
      </c>
      <c r="C18" s="115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25">
      <c r="A19" s="25"/>
      <c r="B19" s="111">
        <f>SUM(B16:B18)</f>
        <v>1</v>
      </c>
      <c r="C19" s="109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25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25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25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25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25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25">
      <c r="A25" s="5"/>
      <c r="B25" s="25"/>
      <c r="C25" s="25"/>
      <c r="D25" s="27"/>
      <c r="E25" s="95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25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25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25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25">
      <c r="A29" s="5"/>
      <c r="B29" s="5"/>
      <c r="C29" s="5"/>
      <c r="D29" s="5"/>
      <c r="E29" s="5"/>
      <c r="F29" s="9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25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25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2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25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25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25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25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25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25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25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25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25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25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25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25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25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25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25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25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25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25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25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25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25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25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25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25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25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25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25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25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25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25">
      <c r="C104" s="5"/>
      <c r="F104" s="5"/>
    </row>
    <row r="105" spans="3:35" x14ac:dyDescent="0.25">
      <c r="C105" s="5"/>
      <c r="F105" s="5"/>
    </row>
    <row r="106" spans="3:35" x14ac:dyDescent="0.25">
      <c r="C106" s="5"/>
      <c r="F106" s="5"/>
    </row>
    <row r="107" spans="3:35" x14ac:dyDescent="0.25">
      <c r="C107" s="5"/>
      <c r="F107" s="5"/>
    </row>
    <row r="108" spans="3:35" x14ac:dyDescent="0.25">
      <c r="C108" s="5"/>
      <c r="F108" s="5"/>
    </row>
    <row r="109" spans="3:35" x14ac:dyDescent="0.25">
      <c r="C109" s="5"/>
      <c r="F109" s="5"/>
    </row>
    <row r="110" spans="3:35" x14ac:dyDescent="0.25">
      <c r="C110" s="5"/>
      <c r="F110" s="5"/>
    </row>
    <row r="111" spans="3:35" x14ac:dyDescent="0.25">
      <c r="C111" s="5"/>
      <c r="F111" s="5"/>
    </row>
    <row r="112" spans="3:35" x14ac:dyDescent="0.25">
      <c r="C112" s="5"/>
      <c r="F112" s="5"/>
    </row>
    <row r="113" spans="3:6" x14ac:dyDescent="0.25">
      <c r="C113" s="5"/>
      <c r="F113" s="5"/>
    </row>
    <row r="114" spans="3:6" x14ac:dyDescent="0.25">
      <c r="C114" s="5"/>
      <c r="F114" s="5"/>
    </row>
    <row r="115" spans="3:6" x14ac:dyDescent="0.25">
      <c r="C115" s="5"/>
      <c r="F115" s="5"/>
    </row>
    <row r="116" spans="3:6" x14ac:dyDescent="0.25">
      <c r="C116" s="5"/>
      <c r="F116" s="5"/>
    </row>
    <row r="117" spans="3:6" x14ac:dyDescent="0.25">
      <c r="C117" s="5"/>
      <c r="F117" s="5"/>
    </row>
    <row r="118" spans="3:6" x14ac:dyDescent="0.25">
      <c r="C118" s="5"/>
      <c r="F118" s="5"/>
    </row>
    <row r="119" spans="3:6" x14ac:dyDescent="0.25">
      <c r="C119" s="5"/>
      <c r="F119" s="5"/>
    </row>
    <row r="120" spans="3:6" x14ac:dyDescent="0.25">
      <c r="C120" s="5"/>
      <c r="F120" s="5"/>
    </row>
    <row r="121" spans="3:6" x14ac:dyDescent="0.25">
      <c r="C121" s="5"/>
      <c r="F121" s="5"/>
    </row>
    <row r="122" spans="3:6" x14ac:dyDescent="0.25">
      <c r="C122" s="5"/>
      <c r="F122" s="5"/>
    </row>
    <row r="123" spans="3:6" x14ac:dyDescent="0.25">
      <c r="C123" s="5"/>
      <c r="F123" s="5"/>
    </row>
    <row r="124" spans="3:6" x14ac:dyDescent="0.25">
      <c r="C124" s="5"/>
      <c r="F124" s="5"/>
    </row>
    <row r="125" spans="3:6" x14ac:dyDescent="0.25">
      <c r="C125" s="5"/>
      <c r="F125" s="5"/>
    </row>
    <row r="126" spans="3:6" x14ac:dyDescent="0.25">
      <c r="C126" s="5"/>
      <c r="F126" s="5"/>
    </row>
    <row r="127" spans="3:6" x14ac:dyDescent="0.25">
      <c r="C127" s="5"/>
      <c r="F127" s="5"/>
    </row>
    <row r="128" spans="3:6" x14ac:dyDescent="0.25">
      <c r="C128" s="5"/>
      <c r="F128" s="5"/>
    </row>
    <row r="129" spans="3:6" x14ac:dyDescent="0.25">
      <c r="C129" s="5"/>
      <c r="F129" s="5"/>
    </row>
    <row r="130" spans="3:6" x14ac:dyDescent="0.25">
      <c r="C130" s="5"/>
      <c r="F130" s="5"/>
    </row>
    <row r="131" spans="3:6" x14ac:dyDescent="0.25">
      <c r="C131" s="5"/>
      <c r="F131" s="5"/>
    </row>
    <row r="132" spans="3:6" x14ac:dyDescent="0.25">
      <c r="F132" s="5"/>
    </row>
    <row r="133" spans="3:6" x14ac:dyDescent="0.25">
      <c r="F133" s="5"/>
    </row>
    <row r="134" spans="3:6" x14ac:dyDescent="0.25">
      <c r="F134" s="5"/>
    </row>
    <row r="135" spans="3:6" x14ac:dyDescent="0.25">
      <c r="F135" s="5"/>
    </row>
    <row r="136" spans="3:6" x14ac:dyDescent="0.25">
      <c r="F136" s="5"/>
    </row>
    <row r="137" spans="3:6" x14ac:dyDescent="0.25">
      <c r="F137" s="5"/>
    </row>
    <row r="138" spans="3:6" x14ac:dyDescent="0.25">
      <c r="F138" s="5"/>
    </row>
    <row r="139" spans="3:6" x14ac:dyDescent="0.25">
      <c r="F139" s="5"/>
    </row>
    <row r="140" spans="3:6" x14ac:dyDescent="0.25">
      <c r="F140" s="5"/>
    </row>
    <row r="141" spans="3:6" x14ac:dyDescent="0.25">
      <c r="F141" s="5"/>
    </row>
    <row r="142" spans="3:6" x14ac:dyDescent="0.25">
      <c r="F142" s="5"/>
    </row>
    <row r="143" spans="3:6" x14ac:dyDescent="0.25">
      <c r="F143" s="5"/>
    </row>
    <row r="144" spans="3:6" x14ac:dyDescent="0.25">
      <c r="F144" s="5"/>
    </row>
    <row r="145" spans="6:6" x14ac:dyDescent="0.25">
      <c r="F145" s="5"/>
    </row>
    <row r="146" spans="6:6" x14ac:dyDescent="0.25">
      <c r="F146" s="5"/>
    </row>
    <row r="147" spans="6:6" x14ac:dyDescent="0.25">
      <c r="F147" s="5"/>
    </row>
    <row r="148" spans="6:6" x14ac:dyDescent="0.25">
      <c r="F148" s="5"/>
    </row>
    <row r="149" spans="6:6" x14ac:dyDescent="0.25">
      <c r="F149" s="5"/>
    </row>
    <row r="150" spans="6:6" x14ac:dyDescent="0.25">
      <c r="F150" s="5"/>
    </row>
    <row r="151" spans="6:6" x14ac:dyDescent="0.25">
      <c r="F151" s="5"/>
    </row>
    <row r="152" spans="6:6" x14ac:dyDescent="0.25">
      <c r="F152" s="5"/>
    </row>
    <row r="153" spans="6:6" x14ac:dyDescent="0.25">
      <c r="F153" s="5"/>
    </row>
    <row r="154" spans="6:6" x14ac:dyDescent="0.25">
      <c r="F154" s="5"/>
    </row>
    <row r="155" spans="6:6" x14ac:dyDescent="0.25">
      <c r="F155" s="5"/>
    </row>
    <row r="156" spans="6:6" x14ac:dyDescent="0.25">
      <c r="F156" s="5"/>
    </row>
    <row r="157" spans="6:6" x14ac:dyDescent="0.25">
      <c r="F157" s="5"/>
    </row>
    <row r="158" spans="6:6" x14ac:dyDescent="0.25">
      <c r="F158" s="5"/>
    </row>
    <row r="159" spans="6:6" x14ac:dyDescent="0.25">
      <c r="F159" s="5"/>
    </row>
    <row r="160" spans="6:6" x14ac:dyDescent="0.25">
      <c r="F160" s="5"/>
    </row>
    <row r="161" spans="6:6" x14ac:dyDescent="0.25">
      <c r="F161" s="5"/>
    </row>
    <row r="162" spans="6:6" x14ac:dyDescent="0.25">
      <c r="F162" s="5"/>
    </row>
    <row r="163" spans="6:6" x14ac:dyDescent="0.25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68" bestFit="1" customWidth="1"/>
    <col min="2" max="4" width="11.42578125" style="68"/>
    <col min="5" max="5" width="9.5703125" style="68" customWidth="1"/>
    <col min="6" max="7" width="11.42578125" style="68"/>
    <col min="8" max="8" width="10.7109375" style="68" customWidth="1"/>
    <col min="9" max="9" width="9.42578125" style="68" customWidth="1"/>
    <col min="10" max="11" width="10.5703125" style="68" bestFit="1" customWidth="1"/>
    <col min="12" max="12" width="14" style="68" bestFit="1" customWidth="1"/>
    <col min="13" max="13" width="14" style="68" customWidth="1"/>
    <col min="14" max="23" width="11.42578125" style="68"/>
    <col min="24" max="24" width="11.7109375" style="68" bestFit="1" customWidth="1"/>
    <col min="25" max="25" width="14.5703125" style="68" bestFit="1" customWidth="1"/>
    <col min="26" max="26" width="12.42578125" style="68" bestFit="1" customWidth="1"/>
    <col min="27" max="27" width="9.7109375" style="68" bestFit="1" customWidth="1"/>
    <col min="28" max="28" width="11" style="68" bestFit="1" customWidth="1"/>
    <col min="29" max="29" width="9.42578125" style="68" bestFit="1" customWidth="1"/>
    <col min="30" max="31" width="9.42578125" style="68" customWidth="1"/>
    <col min="32" max="32" width="11.42578125" style="68"/>
    <col min="33" max="34" width="14" style="68" bestFit="1" customWidth="1"/>
    <col min="35" max="35" width="10.5703125" style="68" bestFit="1" customWidth="1"/>
    <col min="36" max="36" width="9.42578125" style="68" bestFit="1" customWidth="1"/>
    <col min="37" max="38" width="10.5703125" style="68" bestFit="1" customWidth="1"/>
    <col min="39" max="41" width="10.5703125" style="68" customWidth="1"/>
    <col min="42" max="42" width="9" style="68" bestFit="1" customWidth="1"/>
    <col min="43" max="43" width="10.5703125" style="68" bestFit="1" customWidth="1"/>
    <col min="44" max="44" width="9.28515625" style="68" bestFit="1" customWidth="1"/>
    <col min="45" max="45" width="11.7109375" style="68" bestFit="1" customWidth="1"/>
    <col min="46" max="46" width="8.42578125" style="68" bestFit="1" customWidth="1"/>
    <col min="47" max="47" width="9.42578125" style="68" bestFit="1" customWidth="1"/>
    <col min="48" max="48" width="9.7109375" style="68" bestFit="1" customWidth="1"/>
    <col min="49" max="49" width="11" style="68" bestFit="1" customWidth="1"/>
    <col min="50" max="50" width="9.42578125" style="68" bestFit="1" customWidth="1"/>
    <col min="51" max="52" width="9.42578125" style="68" customWidth="1"/>
    <col min="53" max="53" width="10.5703125" style="68" bestFit="1" customWidth="1"/>
    <col min="54" max="54" width="14.28515625" style="68" customWidth="1"/>
    <col min="55" max="55" width="14" style="68" customWidth="1"/>
    <col min="56" max="56" width="10.5703125" style="68" bestFit="1" customWidth="1"/>
    <col min="57" max="57" width="9.42578125" style="68" bestFit="1" customWidth="1"/>
    <col min="58" max="59" width="10.5703125" style="68" bestFit="1" customWidth="1"/>
    <col min="60" max="62" width="10.5703125" style="68" customWidth="1"/>
    <col min="63" max="63" width="9" style="68" bestFit="1" customWidth="1"/>
    <col min="64" max="64" width="10.5703125" style="68" bestFit="1" customWidth="1"/>
    <col min="65" max="65" width="9.28515625" style="68" bestFit="1" customWidth="1"/>
    <col min="66" max="66" width="11.7109375" style="68" bestFit="1" customWidth="1"/>
    <col min="67" max="67" width="8.42578125" style="68" bestFit="1" customWidth="1"/>
    <col min="68" max="68" width="9.42578125" style="68" bestFit="1" customWidth="1"/>
    <col min="69" max="69" width="9.7109375" style="68" bestFit="1" customWidth="1"/>
    <col min="70" max="70" width="11" style="68" bestFit="1" customWidth="1"/>
    <col min="71" max="71" width="9.42578125" style="68" bestFit="1" customWidth="1"/>
    <col min="72" max="73" width="9.42578125" style="68" customWidth="1"/>
    <col min="74" max="74" width="10.5703125" style="68" bestFit="1" customWidth="1"/>
    <col min="75" max="75" width="14" style="68" bestFit="1" customWidth="1"/>
    <col min="76" max="76" width="13.85546875" style="68" customWidth="1"/>
    <col min="77" max="77" width="10.5703125" style="68" bestFit="1" customWidth="1"/>
    <col min="78" max="78" width="9.42578125" style="68" bestFit="1" customWidth="1"/>
    <col min="79" max="80" width="10.5703125" style="68" bestFit="1" customWidth="1"/>
    <col min="81" max="83" width="10.5703125" style="68" customWidth="1"/>
    <col min="84" max="84" width="11.42578125" style="68"/>
    <col min="85" max="85" width="10.5703125" style="68" bestFit="1" customWidth="1"/>
    <col min="86" max="86" width="9.28515625" style="68" bestFit="1" customWidth="1"/>
    <col min="87" max="87" width="11.7109375" style="68" bestFit="1" customWidth="1"/>
    <col min="88" max="88" width="8.42578125" style="68" bestFit="1" customWidth="1"/>
    <col min="89" max="89" width="9.42578125" style="68" bestFit="1" customWidth="1"/>
    <col min="90" max="90" width="9.7109375" style="68" bestFit="1" customWidth="1"/>
    <col min="91" max="91" width="11" style="68" bestFit="1" customWidth="1"/>
    <col min="92" max="92" width="9.42578125" style="68" bestFit="1" customWidth="1"/>
    <col min="93" max="94" width="9.42578125" style="68" customWidth="1"/>
    <col min="95" max="95" width="11.42578125" style="68"/>
    <col min="96" max="97" width="14" style="68" customWidth="1"/>
    <col min="98" max="98" width="10.5703125" style="68" bestFit="1" customWidth="1"/>
    <col min="99" max="99" width="9.42578125" style="68" bestFit="1" customWidth="1"/>
    <col min="100" max="101" width="10.5703125" style="68" bestFit="1" customWidth="1"/>
    <col min="102" max="104" width="10.5703125" style="68" customWidth="1"/>
    <col min="105" max="105" width="9" style="68" bestFit="1" customWidth="1"/>
    <col min="106" max="106" width="10.5703125" style="68" bestFit="1" customWidth="1"/>
    <col min="107" max="107" width="9.28515625" style="68" bestFit="1" customWidth="1"/>
    <col min="108" max="108" width="11.7109375" style="68" bestFit="1" customWidth="1"/>
    <col min="109" max="109" width="8.42578125" style="68" bestFit="1" customWidth="1"/>
    <col min="110" max="110" width="9.42578125" style="68" bestFit="1" customWidth="1"/>
    <col min="111" max="111" width="9.7109375" style="68" bestFit="1" customWidth="1"/>
    <col min="112" max="112" width="11" style="68" bestFit="1" customWidth="1"/>
    <col min="113" max="113" width="9.42578125" style="68" bestFit="1" customWidth="1"/>
    <col min="114" max="115" width="9.42578125" style="68" customWidth="1"/>
    <col min="116" max="116" width="10.5703125" style="68" bestFit="1" customWidth="1"/>
    <col min="117" max="117" width="14.28515625" style="68" customWidth="1"/>
    <col min="118" max="118" width="14" style="68" bestFit="1" customWidth="1"/>
    <col min="119" max="119" width="10.5703125" style="68" bestFit="1" customWidth="1"/>
    <col min="120" max="120" width="9.42578125" style="68" bestFit="1" customWidth="1"/>
    <col min="121" max="122" width="10.5703125" style="68" bestFit="1" customWidth="1"/>
    <col min="123" max="125" width="10.5703125" style="68" customWidth="1"/>
    <col min="126" max="126" width="9" style="68" bestFit="1" customWidth="1"/>
    <col min="127" max="127" width="10.5703125" style="68" bestFit="1" customWidth="1"/>
    <col min="128" max="128" width="9.28515625" style="68" bestFit="1" customWidth="1"/>
    <col min="129" max="129" width="11.7109375" style="68" bestFit="1" customWidth="1"/>
    <col min="130" max="130" width="8.42578125" style="68" bestFit="1" customWidth="1"/>
    <col min="131" max="131" width="9.42578125" style="68" bestFit="1" customWidth="1"/>
    <col min="132" max="132" width="9.7109375" style="68" bestFit="1" customWidth="1"/>
    <col min="133" max="133" width="11" style="68" bestFit="1" customWidth="1"/>
    <col min="134" max="134" width="9.42578125" style="68" bestFit="1" customWidth="1"/>
    <col min="135" max="136" width="9.42578125" style="68" customWidth="1"/>
    <col min="137" max="137" width="10.5703125" style="68" bestFit="1" customWidth="1"/>
    <col min="138" max="139" width="14" style="68" customWidth="1"/>
    <col min="140" max="140" width="10.5703125" style="68" bestFit="1" customWidth="1"/>
    <col min="141" max="141" width="9.42578125" style="68" bestFit="1" customWidth="1"/>
    <col min="142" max="143" width="10.5703125" style="68" bestFit="1" customWidth="1"/>
    <col min="144" max="146" width="10.5703125" style="68" customWidth="1"/>
    <col min="147" max="147" width="9" style="68" bestFit="1" customWidth="1"/>
    <col min="148" max="148" width="10.5703125" style="68" bestFit="1" customWidth="1"/>
    <col min="149" max="149" width="9.28515625" style="68" bestFit="1" customWidth="1"/>
    <col min="150" max="150" width="11.7109375" style="68" bestFit="1" customWidth="1"/>
    <col min="151" max="151" width="8.42578125" style="68" bestFit="1" customWidth="1"/>
    <col min="152" max="152" width="9.42578125" style="68" bestFit="1" customWidth="1"/>
    <col min="153" max="153" width="9.7109375" style="68" bestFit="1" customWidth="1"/>
    <col min="154" max="154" width="11" style="68" bestFit="1" customWidth="1"/>
    <col min="155" max="155" width="9.42578125" style="68" bestFit="1" customWidth="1"/>
    <col min="156" max="157" width="9.42578125" style="68" customWidth="1"/>
    <col min="158" max="158" width="11.42578125" style="68"/>
    <col min="159" max="160" width="14" style="68" bestFit="1" customWidth="1"/>
    <col min="161" max="161" width="10.5703125" style="68" bestFit="1" customWidth="1"/>
    <col min="162" max="162" width="9.42578125" style="68" bestFit="1" customWidth="1"/>
    <col min="163" max="164" width="10.5703125" style="68" bestFit="1" customWidth="1"/>
    <col min="165" max="167" width="10.5703125" style="68" customWidth="1"/>
    <col min="168" max="168" width="9" style="68" bestFit="1" customWidth="1"/>
    <col min="169" max="169" width="10.5703125" style="68" bestFit="1" customWidth="1"/>
    <col min="170" max="170" width="9.28515625" style="68" bestFit="1" customWidth="1"/>
    <col min="171" max="171" width="11.7109375" style="68" bestFit="1" customWidth="1"/>
    <col min="172" max="172" width="8.140625" style="68" bestFit="1" customWidth="1"/>
    <col min="173" max="173" width="9.42578125" style="68" bestFit="1" customWidth="1"/>
    <col min="174" max="174" width="9.7109375" style="68" bestFit="1" customWidth="1"/>
    <col min="175" max="175" width="11" style="68" bestFit="1" customWidth="1"/>
    <col min="176" max="176" width="9.42578125" style="68" bestFit="1" customWidth="1"/>
    <col min="177" max="178" width="9.42578125" style="68" customWidth="1"/>
    <col min="179" max="179" width="10.5703125" style="68" bestFit="1" customWidth="1"/>
    <col min="180" max="181" width="14" style="68" bestFit="1" customWidth="1"/>
    <col min="182" max="182" width="10.5703125" style="68" bestFit="1" customWidth="1"/>
    <col min="183" max="183" width="9.42578125" style="68" bestFit="1" customWidth="1"/>
    <col min="184" max="185" width="10.5703125" style="68" bestFit="1" customWidth="1"/>
    <col min="186" max="188" width="10.5703125" style="68" customWidth="1"/>
    <col min="189" max="189" width="9" style="68" bestFit="1" customWidth="1"/>
    <col min="190" max="190" width="10.5703125" style="68" bestFit="1" customWidth="1"/>
    <col min="191" max="191" width="9.28515625" style="68" bestFit="1" customWidth="1"/>
    <col min="192" max="192" width="11.42578125" style="68"/>
    <col min="193" max="193" width="8.42578125" style="68" bestFit="1" customWidth="1"/>
    <col min="194" max="194" width="9.42578125" style="68" bestFit="1" customWidth="1"/>
    <col min="195" max="195" width="9.7109375" style="68" bestFit="1" customWidth="1"/>
    <col min="196" max="196" width="11" style="68" bestFit="1" customWidth="1"/>
    <col min="197" max="197" width="9.42578125" style="68" bestFit="1" customWidth="1"/>
    <col min="198" max="199" width="9.42578125" style="68" customWidth="1"/>
    <col min="200" max="200" width="10.5703125" style="68" bestFit="1" customWidth="1"/>
    <col min="201" max="201" width="14" style="68" customWidth="1"/>
    <col min="202" max="202" width="14.28515625" style="68" customWidth="1"/>
    <col min="203" max="203" width="10.5703125" style="68" bestFit="1" customWidth="1"/>
    <col min="204" max="204" width="9.42578125" style="68" bestFit="1" customWidth="1"/>
    <col min="205" max="206" width="10.5703125" style="68" bestFit="1" customWidth="1"/>
    <col min="207" max="209" width="10.5703125" style="68" customWidth="1"/>
    <col min="210" max="210" width="9" style="68" bestFit="1" customWidth="1"/>
    <col min="211" max="211" width="10.5703125" style="68" bestFit="1" customWidth="1"/>
    <col min="212" max="212" width="9.28515625" style="68" bestFit="1" customWidth="1"/>
    <col min="213" max="213" width="11.7109375" style="68" bestFit="1" customWidth="1"/>
    <col min="214" max="214" width="8.42578125" style="68" bestFit="1" customWidth="1"/>
    <col min="215" max="215" width="9.42578125" style="68" bestFit="1" customWidth="1"/>
    <col min="216" max="216" width="9.7109375" style="68" bestFit="1" customWidth="1"/>
    <col min="217" max="217" width="11" style="68" bestFit="1" customWidth="1"/>
    <col min="218" max="218" width="9.42578125" style="68" bestFit="1" customWidth="1"/>
    <col min="219" max="16384" width="11.42578125" style="68"/>
  </cols>
  <sheetData>
    <row r="1" spans="1:218" s="5" customFormat="1" ht="27" thickBot="1" x14ac:dyDescent="0.45">
      <c r="B1" s="310" t="s">
        <v>176</v>
      </c>
      <c r="C1" s="311"/>
      <c r="D1" s="311"/>
      <c r="E1" s="311"/>
      <c r="F1" s="311"/>
      <c r="G1" s="311"/>
      <c r="H1" s="312"/>
      <c r="I1" s="307" t="str">
        <f>IF('Données projet'!$B$9="","",'Données projet'!$B$9)</f>
        <v>Charme</v>
      </c>
      <c r="J1" s="308"/>
      <c r="K1" s="308"/>
      <c r="L1" s="308"/>
      <c r="M1" s="308"/>
      <c r="N1" s="308"/>
      <c r="O1" s="308"/>
      <c r="P1" s="308"/>
      <c r="Q1" s="308"/>
      <c r="R1" s="308"/>
      <c r="S1" s="308"/>
      <c r="T1" s="308"/>
      <c r="U1" s="308"/>
      <c r="V1" s="308"/>
      <c r="W1" s="308"/>
      <c r="X1" s="308"/>
      <c r="Y1" s="308"/>
      <c r="Z1" s="308"/>
      <c r="AA1" s="308"/>
      <c r="AB1" s="308"/>
      <c r="AC1" s="309"/>
      <c r="AD1" s="308" t="str">
        <f>IF('Données projet'!$B$10="","",'Données projet'!$B$10)</f>
        <v>Erable champêtre</v>
      </c>
      <c r="AE1" s="308"/>
      <c r="AF1" s="308"/>
      <c r="AG1" s="308"/>
      <c r="AH1" s="308"/>
      <c r="AI1" s="308"/>
      <c r="AJ1" s="308"/>
      <c r="AK1" s="308"/>
      <c r="AL1" s="308"/>
      <c r="AM1" s="308"/>
      <c r="AN1" s="308"/>
      <c r="AO1" s="308"/>
      <c r="AP1" s="308"/>
      <c r="AQ1" s="308"/>
      <c r="AR1" s="308"/>
      <c r="AS1" s="308"/>
      <c r="AT1" s="308"/>
      <c r="AU1" s="308"/>
      <c r="AV1" s="308"/>
      <c r="AW1" s="308"/>
      <c r="AX1" s="309"/>
      <c r="AY1" s="307" t="str">
        <f>IF('Données projet'!$B$11="","",'Données projet'!$B$11)</f>
        <v>Chêne sessile</v>
      </c>
      <c r="AZ1" s="308"/>
      <c r="BA1" s="308"/>
      <c r="BB1" s="308"/>
      <c r="BC1" s="308"/>
      <c r="BD1" s="308"/>
      <c r="BE1" s="308"/>
      <c r="BF1" s="308"/>
      <c r="BG1" s="308"/>
      <c r="BH1" s="308"/>
      <c r="BI1" s="308"/>
      <c r="BJ1" s="308"/>
      <c r="BK1" s="308"/>
      <c r="BL1" s="308"/>
      <c r="BM1" s="308"/>
      <c r="BN1" s="308"/>
      <c r="BO1" s="308"/>
      <c r="BP1" s="308"/>
      <c r="BQ1" s="308"/>
      <c r="BR1" s="308"/>
      <c r="BS1" s="309"/>
      <c r="BT1" s="307" t="str">
        <f>IF('Données projet'!$B$12="","",'Données projet'!$B$12)</f>
        <v>Chêne pubescent</v>
      </c>
      <c r="BU1" s="308"/>
      <c r="BV1" s="308"/>
      <c r="BW1" s="308"/>
      <c r="BX1" s="308"/>
      <c r="BY1" s="308"/>
      <c r="BZ1" s="308"/>
      <c r="CA1" s="308"/>
      <c r="CB1" s="308"/>
      <c r="CC1" s="308"/>
      <c r="CD1" s="308"/>
      <c r="CE1" s="308"/>
      <c r="CF1" s="308"/>
      <c r="CG1" s="308"/>
      <c r="CH1" s="308"/>
      <c r="CI1" s="308"/>
      <c r="CJ1" s="308"/>
      <c r="CK1" s="308"/>
      <c r="CL1" s="308"/>
      <c r="CM1" s="308"/>
      <c r="CN1" s="309"/>
      <c r="CO1" s="307" t="str">
        <f>IF('Données projet'!$B$13="","",'Données projet'!$B$13)</f>
        <v>Cormier</v>
      </c>
      <c r="CP1" s="308"/>
      <c r="CQ1" s="308"/>
      <c r="CR1" s="308"/>
      <c r="CS1" s="308"/>
      <c r="CT1" s="308"/>
      <c r="CU1" s="308"/>
      <c r="CV1" s="308"/>
      <c r="CW1" s="308"/>
      <c r="CX1" s="308"/>
      <c r="CY1" s="308"/>
      <c r="CZ1" s="308"/>
      <c r="DA1" s="308"/>
      <c r="DB1" s="308"/>
      <c r="DC1" s="308"/>
      <c r="DD1" s="308"/>
      <c r="DE1" s="308"/>
      <c r="DF1" s="308"/>
      <c r="DG1" s="308"/>
      <c r="DH1" s="308"/>
      <c r="DI1" s="309"/>
      <c r="DJ1" s="307" t="str">
        <f>IF('Données projet'!$B$14="","",'Données projet'!$B$14)</f>
        <v>Alisier torminal</v>
      </c>
      <c r="DK1" s="308"/>
      <c r="DL1" s="308"/>
      <c r="DM1" s="308"/>
      <c r="DN1" s="308"/>
      <c r="DO1" s="308"/>
      <c r="DP1" s="308"/>
      <c r="DQ1" s="308"/>
      <c r="DR1" s="308"/>
      <c r="DS1" s="308"/>
      <c r="DT1" s="308"/>
      <c r="DU1" s="308"/>
      <c r="DV1" s="308"/>
      <c r="DW1" s="308"/>
      <c r="DX1" s="308"/>
      <c r="DY1" s="308"/>
      <c r="DZ1" s="308"/>
      <c r="EA1" s="308"/>
      <c r="EB1" s="308"/>
      <c r="EC1" s="308"/>
      <c r="ED1" s="309"/>
      <c r="EE1" s="307" t="str">
        <f>IF('Données projet'!$B$15="","",'Données projet'!$B$15)</f>
        <v>Merisier</v>
      </c>
      <c r="EF1" s="308"/>
      <c r="EG1" s="308"/>
      <c r="EH1" s="308"/>
      <c r="EI1" s="308"/>
      <c r="EJ1" s="308"/>
      <c r="EK1" s="308"/>
      <c r="EL1" s="308"/>
      <c r="EM1" s="308"/>
      <c r="EN1" s="308"/>
      <c r="EO1" s="308"/>
      <c r="EP1" s="308"/>
      <c r="EQ1" s="308"/>
      <c r="ER1" s="308"/>
      <c r="ES1" s="308"/>
      <c r="ET1" s="308"/>
      <c r="EU1" s="308"/>
      <c r="EV1" s="308"/>
      <c r="EW1" s="308"/>
      <c r="EX1" s="308"/>
      <c r="EY1" s="309"/>
      <c r="EZ1" s="307" t="str">
        <f>IF('Données projet'!$B$16="","",'Données projet'!$B$16)</f>
        <v/>
      </c>
      <c r="FA1" s="308"/>
      <c r="FB1" s="308"/>
      <c r="FC1" s="308"/>
      <c r="FD1" s="308"/>
      <c r="FE1" s="308"/>
      <c r="FF1" s="308"/>
      <c r="FG1" s="308"/>
      <c r="FH1" s="308"/>
      <c r="FI1" s="308"/>
      <c r="FJ1" s="308"/>
      <c r="FK1" s="308"/>
      <c r="FL1" s="308"/>
      <c r="FM1" s="308"/>
      <c r="FN1" s="308"/>
      <c r="FO1" s="308"/>
      <c r="FP1" s="308"/>
      <c r="FQ1" s="308"/>
      <c r="FR1" s="308"/>
      <c r="FS1" s="308"/>
      <c r="FT1" s="309"/>
      <c r="FU1" s="307" t="str">
        <f>IF('Données projet'!$B$17="","",'Données projet'!$B$17)</f>
        <v/>
      </c>
      <c r="FV1" s="308"/>
      <c r="FW1" s="308"/>
      <c r="FX1" s="308"/>
      <c r="FY1" s="308"/>
      <c r="FZ1" s="308"/>
      <c r="GA1" s="308"/>
      <c r="GB1" s="308"/>
      <c r="GC1" s="308"/>
      <c r="GD1" s="308"/>
      <c r="GE1" s="308"/>
      <c r="GF1" s="308"/>
      <c r="GG1" s="308"/>
      <c r="GH1" s="308"/>
      <c r="GI1" s="308"/>
      <c r="GJ1" s="308"/>
      <c r="GK1" s="308"/>
      <c r="GL1" s="308"/>
      <c r="GM1" s="308"/>
      <c r="GN1" s="308"/>
      <c r="GO1" s="309"/>
      <c r="GP1" s="307" t="str">
        <f>IF('Données projet'!$B$18="","",'Données projet'!$B$18)</f>
        <v/>
      </c>
      <c r="GQ1" s="308"/>
      <c r="GR1" s="308"/>
      <c r="GS1" s="308"/>
      <c r="GT1" s="308"/>
      <c r="GU1" s="308"/>
      <c r="GV1" s="308"/>
      <c r="GW1" s="308"/>
      <c r="GX1" s="308"/>
      <c r="GY1" s="308"/>
      <c r="GZ1" s="308"/>
      <c r="HA1" s="308"/>
      <c r="HB1" s="308"/>
      <c r="HC1" s="308"/>
      <c r="HD1" s="308"/>
      <c r="HE1" s="308"/>
      <c r="HF1" s="308"/>
      <c r="HG1" s="308"/>
      <c r="HH1" s="308"/>
      <c r="HI1" s="308"/>
      <c r="HJ1" s="309"/>
    </row>
    <row r="2" spans="1:218" s="5" customFormat="1" ht="75.75" thickBot="1" x14ac:dyDescent="0.3">
      <c r="A2" s="72" t="s">
        <v>178</v>
      </c>
      <c r="B2" s="73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6" t="s">
        <v>299</v>
      </c>
      <c r="I2" s="69" t="s">
        <v>298</v>
      </c>
      <c r="J2" s="70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0" t="s">
        <v>298</v>
      </c>
      <c r="AE2" s="70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69" t="s">
        <v>298</v>
      </c>
      <c r="AZ2" s="70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69" t="s">
        <v>298</v>
      </c>
      <c r="BU2" s="70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69" t="s">
        <v>298</v>
      </c>
      <c r="CP2" s="70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69" t="s">
        <v>298</v>
      </c>
      <c r="DK2" s="70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69" t="s">
        <v>298</v>
      </c>
      <c r="EF2" s="70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69" t="s">
        <v>298</v>
      </c>
      <c r="FA2" s="70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69" t="s">
        <v>298</v>
      </c>
      <c r="FV2" s="70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69" t="s">
        <v>298</v>
      </c>
      <c r="GQ2" s="70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25">
      <c r="A3" s="11">
        <v>0</v>
      </c>
      <c r="B3" s="74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7">
        <f>(B3+E3+F3)*44/12+(C3+D3)*0.475*44/12</f>
        <v>256.66666666666669</v>
      </c>
      <c r="I3" s="7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0">
        <f t="shared" ref="R3:R66" si="0">Q3+(I3+J3)*44/12</f>
        <v>256.66666666666669</v>
      </c>
      <c r="S3" s="60">
        <f ca="1">AVERAGE(OFFSET($R$3,0,0,'Données projet'!$E$9+1,1))-AVERAGE(OFFSET($H$3,0,0,'Données projet'!$E$9+1,1))</f>
        <v>403.49781966317852</v>
      </c>
      <c r="T3" s="60">
        <f>IF('Données projet'!E9&gt;30,$R$33-$H$33,LOOKUP('Données projet'!$E$9,$A$3:$A$203,R3:R203)-LOOKUP('Données projet'!$E$9,$A$3:$A$203,$H$3:$H$203))</f>
        <v>326.06674572505409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>
        <f>AI3*VLOOKUP('Données projet'!$B$10,Paramètres!$A$1:$I$89,3,0)*VLOOKUP('Données projet'!$B$10,Paramètres!$A$1:$I$89,5,0)</f>
        <v>0</v>
      </c>
      <c r="AK3" s="13">
        <v>0</v>
      </c>
      <c r="AL3" s="15">
        <f>(AJ3+AK3)*0.475*44/12</f>
        <v>0</v>
      </c>
      <c r="AM3" s="60">
        <f>AL3+(AD3+AE3)*44/12</f>
        <v>256.66666666666669</v>
      </c>
      <c r="AN3" s="60">
        <f ca="1">AVERAGE(OFFSET($AM$3,0,0,'Données projet'!$E$10+1,1))-AVERAGE(OFFSET($H$3,0,0,'Données projet'!$E$10+1,1))</f>
        <v>274.66236526869056</v>
      </c>
      <c r="AO3" s="60">
        <f>IF('Données projet'!E10&gt;30,$AM$33-$H$33,LOOKUP('Données projet'!$E$10,$A$3:$A$203,AM3:AM203)-LOOKUP('Données projet'!$E$10,$A$3:$A$203,$H$3:$H$203))</f>
        <v>256.90876395053073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6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>
        <f>BD3*VLOOKUP('Données projet'!$B$11,Paramètres!$A$1:$I$89,3,0)*VLOOKUP('Données projet'!$B$11,Paramètres!$A$1:$I$89,5,0)</f>
        <v>0</v>
      </c>
      <c r="BF3" s="13">
        <v>0</v>
      </c>
      <c r="BG3" s="15">
        <f>(BE3+BF3)*0.475*44/12</f>
        <v>0</v>
      </c>
      <c r="BH3" s="60">
        <f>BG3+(AY3+AZ3)*44/12</f>
        <v>256.66666666666669</v>
      </c>
      <c r="BI3" s="60">
        <f ca="1">AVERAGE(OFFSET($BH$3,0,0,'Données projet'!$E$11+1,1))-AVERAGE(OFFSET($H$3,0,0,'Données projet'!$E$11+1,1))</f>
        <v>529.25712986118265</v>
      </c>
      <c r="BJ3" s="60">
        <f>IF('Données projet'!E11&gt;30,$BH$33-$H$33,LOOKUP('Données projet'!$E$11,$A$3:$A$203,BH3:BH203)-LOOKUP('Données projet'!$E$11,$A$3:$A$203,$H$3:$H$203))</f>
        <v>278.21741231699929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77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>
        <f>BY3*VLOOKUP('Données projet'!$B$12,Paramètres!$A$1:$I$89,3,0)*VLOOKUP('Données projet'!$B$12,Paramètres!$A$1:$I$89,5,0)</f>
        <v>0</v>
      </c>
      <c r="CA3" s="13">
        <v>0</v>
      </c>
      <c r="CB3" s="15">
        <f>(BZ3+CA3)*0.475*44/12</f>
        <v>0</v>
      </c>
      <c r="CC3" s="60">
        <f>CB3+(BT3+BU3)*44/12</f>
        <v>256.66666666666669</v>
      </c>
      <c r="CD3" s="60">
        <f ca="1">AVERAGE(OFFSET($CC$3,0,0,'Données projet'!$E$12+1,1))-AVERAGE(OFFSET($H$3,0,0,'Données projet'!$E$12+1,1))</f>
        <v>587.74247372331615</v>
      </c>
      <c r="CE3" s="60">
        <f>IF('Données projet'!E12&gt;30,$CC$33-$H$33,LOOKUP('Données projet'!$E$12,$A$3:$A$203,CC3:CC203)-LOOKUP('Données projet'!$E$12,$A$3:$A$203,$H$3:$H$203))</f>
        <v>306.61893266146666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77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>
        <f>CT3*VLOOKUP('Données projet'!$B$13,Paramètres!$A$1:$I$89,3,0)*VLOOKUP('Données projet'!$B$13,Paramètres!$A$1:$I$89,5,0)</f>
        <v>0</v>
      </c>
      <c r="CV3" s="13">
        <v>0</v>
      </c>
      <c r="CW3" s="15">
        <f>(CU3+CV3)*0.475*44/12</f>
        <v>0</v>
      </c>
      <c r="CX3" s="60">
        <f>CW3+(CO3+CP3)*44/12</f>
        <v>256.66666666666669</v>
      </c>
      <c r="CY3" s="60">
        <f ca="1">AVERAGE(OFFSET($CX$3,0,0,'Données projet'!$E$13+1,1))-AVERAGE(OFFSET($H$3,0,0,'Données projet'!$E$13+1,1))</f>
        <v>621.10465023992288</v>
      </c>
      <c r="CZ3" s="60">
        <f>IF('Données projet'!E13&gt;30,$CX$33-$H$33,LOOKUP('Données projet'!$E$13,$A$3:$A$203,CX3:CX203)-LOOKUP('Données projet'!$E$13,$A$3:$A$203,$H$3:$H$203))</f>
        <v>322.81767004794284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77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>
        <f>DO3*VLOOKUP('Données projet'!$B$14,Paramètres!$A$1:$I$89,3,0)*VLOOKUP('Données projet'!$B$14,Paramètres!$A$1:$I$89,5,0)</f>
        <v>0</v>
      </c>
      <c r="DQ3" s="13">
        <v>0</v>
      </c>
      <c r="DR3" s="15">
        <f>(DP3+DQ3)*0.475*44/12</f>
        <v>0</v>
      </c>
      <c r="DS3" s="60">
        <f>DR3+(DJ3+DK3)*44/12</f>
        <v>256.66666666666669</v>
      </c>
      <c r="DT3" s="60">
        <f ca="1">AVERAGE(OFFSET($DS$3,0,0,'Données projet'!$E$14+1,1))-AVERAGE(OFFSET($H$3,0,0,'Données projet'!$E$14+1,1))</f>
        <v>562.69380557620775</v>
      </c>
      <c r="DU3" s="60">
        <f>IF('Données projet'!E14&gt;30,$DS$33-$H$33,LOOKUP('Données projet'!$E$14,$A$3:$A$203,DS3:DS203)-LOOKUP('Données projet'!$E$14,$A$3:$A$203,$H$3:$H$203))</f>
        <v>294.45557293177131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77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>
        <f>EJ3*VLOOKUP('Données projet'!$B$15,Paramètres!$A$1:$I$89,3,0)*VLOOKUP('Données projet'!$B$15,Paramètres!$A$1:$I$89,5,0)</f>
        <v>0</v>
      </c>
      <c r="EL3" s="13">
        <v>0</v>
      </c>
      <c r="EM3" s="15">
        <f>(EK3+EL3)*0.475*44/12</f>
        <v>0</v>
      </c>
      <c r="EN3" s="60">
        <f>EM3+(EE3+EF3)*44/12</f>
        <v>256.66666666666669</v>
      </c>
      <c r="EO3" s="60">
        <f ca="1">AVERAGE(OFFSET($EN$3,0,0,'Données projet'!$E$15+1,1))-AVERAGE(OFFSET($H$3,0,0,'Données projet'!$E$15+1,1))</f>
        <v>292.57482726862594</v>
      </c>
      <c r="EP3" s="60">
        <f>IF('Données projet'!E15&gt;30,$EN$33-$H$33,LOOKUP('Données projet'!$E$15,$A$3:$A$203,EN3:EN203)-LOOKUP('Données projet'!$E$15,$A$3:$A$203,$H$3:$H$203))</f>
        <v>283.48738729114024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77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0" t="e">
        <f>FH3+(EZ3+FA3)*44/12</f>
        <v>#N/A</v>
      </c>
      <c r="FJ3" s="60" t="e">
        <f ca="1">AVERAGE(OFFSET($FI$3,0,0,'Données projet'!$E$16+1,1))-AVERAGE(OFFSET($H$3,0,0,'Données projet'!$E$16+1,1))</f>
        <v>#N/A</v>
      </c>
      <c r="FK3" s="60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77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0" t="e">
        <f>GC3+(FU3+FV3)*44/12</f>
        <v>#N/A</v>
      </c>
      <c r="GE3" s="60" t="e">
        <f ca="1">AVERAGE(OFFSET($GD$3,0,0,'Données projet'!$E$17+1,1))-AVERAGE(OFFSET($H$3,0,0,'Données projet'!$E$17+1,1))</f>
        <v>#N/A</v>
      </c>
      <c r="GF3" s="60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77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0" t="e">
        <f>GX3+(GP3+GQ3)*44/12</f>
        <v>#N/A</v>
      </c>
      <c r="GZ3" s="60" t="e">
        <f ca="1">AVERAGE(OFFSET($GY$3,0,0,'Données projet'!$E$18+1,1))-AVERAGE(OFFSET($H$3,0,0,'Données projet'!$E$18+1,1))</f>
        <v>#N/A</v>
      </c>
      <c r="HA3" s="60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25">
      <c r="A4" s="11">
        <f>A3+1</f>
        <v>1</v>
      </c>
      <c r="B4" s="74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2">
        <f>IFERROR(EXP(-1.0587+0.8836*LN(C4)+0.284),0)</f>
        <v>0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0</v>
      </c>
      <c r="H4" s="67">
        <f t="shared" ref="H4:H67" si="1">(B4+E4+F4)*44/12+(C4+D4)*0.475*44/12</f>
        <v>256.66666666666669</v>
      </c>
      <c r="I4" s="7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3.1623931623931623</v>
      </c>
      <c r="N4" s="14">
        <f>IF('Données projet'!$A$36&gt;35,N3+M4-V3,IF(A4&lt;'Données projet'!$A$36,$K$205^A4,IF(A4='Données projet'!$A$36,'Données projet'!$B$36,N3+M4-V3)))</f>
        <v>1.2934226882877784</v>
      </c>
      <c r="O4" s="14">
        <f>N4*VLOOKUP('Données projet'!$B$9,Paramètres!$A$1:$I$89,3,0)*VLOOKUP('Données projet'!$B$9,Paramètres!$A$1:$I$89,5,0)</f>
        <v>1.2308210301746498</v>
      </c>
      <c r="P4" s="14">
        <f>EXP(-1.0587+0.8836*LN(O4)+0.284)</f>
        <v>0.55366654932289705</v>
      </c>
      <c r="Q4" s="22">
        <f t="shared" ref="Q4:Q34" si="2">(O4+P4)*0.475*44/12</f>
        <v>3.1079825342915606</v>
      </c>
      <c r="R4" s="60">
        <f t="shared" si="0"/>
        <v>260.99687142318044</v>
      </c>
      <c r="S4" s="60">
        <f ca="1">AVERAGE(OFFSET($R$3,0,0,'Données projet'!$E$9+1,1))-AVERAGE(OFFSET($H$3,0,0,'Données projet'!$E$9+1,1))</f>
        <v>403.49781966317852</v>
      </c>
      <c r="T4" s="60">
        <f>$T$3</f>
        <v>326.06674572505409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0.6</v>
      </c>
      <c r="AI4" s="14">
        <f>IF('Données projet'!$A$62&gt;35,AI3+AH4-AQ3,IF(A4&lt;'Données projet'!$A$62,$AF$205^A4,IF(A4='Données projet'!$A$62,'Données projet'!$B$62,AI3+AH4-AQ3)))</f>
        <v>1.1577536725165907</v>
      </c>
      <c r="AJ4" s="14">
        <f>AI4*VLOOKUP('Données projet'!$B$10,Paramètres!$A$1:$I$89,3,0)*VLOOKUP('Données projet'!$B$10,Paramètres!$A$1:$I$89,5,0)</f>
        <v>1.0114136083104937</v>
      </c>
      <c r="AK4" s="14">
        <f>EXP(-1.0587+0.8836*LN(AJ4)+0.284)</f>
        <v>0.46548655994988658</v>
      </c>
      <c r="AL4" s="22">
        <f t="shared" ref="AL4:AL67" si="4">(AJ4+AK4)*0.475*44/12</f>
        <v>2.5722677930534954</v>
      </c>
      <c r="AM4" s="60">
        <f t="shared" ref="AM4:AM67" si="5">AL4+(AD4+AE4)*44/12</f>
        <v>260.46115668194233</v>
      </c>
      <c r="AN4" s="60">
        <f ca="1">AVERAGE(OFFSET($AM$3,0,0,'Données projet'!$E$10+1,1))-AVERAGE(OFFSET($H$3,0,0,'Données projet'!$E$10+1,1))</f>
        <v>274.66236526869056</v>
      </c>
      <c r="AO4" s="60">
        <f>$AO$3</f>
        <v>256.90876395053073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>
        <f>EXP(-LN(2)/35)*AU3+(1-EXP(-LN(2)/35))/(LN(2)/35)*AQ4*AR4*VLOOKUP('Données projet'!$B$10,Paramètres!$A$1:$I$89,3,0)*0.475*44/12</f>
        <v>0</v>
      </c>
      <c r="AV4" s="23">
        <f>EXP(-LN(2)/25)*AV3+(1-EXP(-LN(2)/25))/(LN(2)/25)*Calculateur!AQ4*Calculateur!AS4*VLOOKUP('Données projet'!$B$10,Paramètres!$A$1:$I$89,3,0)*0.475*44/12</f>
        <v>0</v>
      </c>
      <c r="AW4" s="23">
        <f>EXP(-LN(2)/2)*AW3+(1-EXP(-LN(2)/2))/(LN(2)/2)*AQ4*AT4*VLOOKUP('Données projet'!$B$10,Paramètres!$A$1:$I$89,3,0)*0.475*44/12</f>
        <v>0</v>
      </c>
      <c r="AX4" s="23">
        <f t="shared" ref="AX4:AX67" si="6">SUM(AU4:AW4)</f>
        <v>0</v>
      </c>
      <c r="AY4" s="76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3.65</v>
      </c>
      <c r="BD4" s="13">
        <f>IF('Données projet'!$A$88&gt;35,BD3+BC4-BL3,IF(A4&lt;'Données projet'!$A$88,$BA$205^A4,IF(A4='Données projet'!$A$88,'Données projet'!$B$88,BD3+BC4-BL3)))</f>
        <v>1.2392705892426346</v>
      </c>
      <c r="BE4" s="14">
        <f>BD4*VLOOKUP('Données projet'!$B$11,Paramètres!$A$1:$I$89,3,0)*VLOOKUP('Données projet'!$B$11,Paramètres!$A$1:$I$89,5,0)</f>
        <v>1.1212920291467359</v>
      </c>
      <c r="BF4" s="14">
        <f>EXP(-1.0587+0.8836*LN(BE4)+0.284)</f>
        <v>0.50989827066551541</v>
      </c>
      <c r="BG4" s="22">
        <f t="shared" ref="BG4:BG67" si="7">(BE4+BF4)*0.475*44/12</f>
        <v>2.8409897721730037</v>
      </c>
      <c r="BH4" s="60">
        <f t="shared" ref="BH4:BH67" si="8">BG4+(AY4+AZ4)*44/12</f>
        <v>260.72987866106189</v>
      </c>
      <c r="BI4" s="60">
        <f ca="1">AVERAGE(OFFSET($BH$3,0,0,'Données projet'!$E$11+1,1))-AVERAGE(OFFSET($H$3,0,0,'Données projet'!$E$11+1,1))</f>
        <v>529.25712986118265</v>
      </c>
      <c r="BJ4" s="60">
        <f>$BJ$3</f>
        <v>278.21741231699929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>
        <f>EXP(-LN(2)/35)*BP3+(1-EXP(-LN(2)/35))/(LN(2)/35)*BL4*BM4*VLOOKUP('Données projet'!$B$11,Paramètres!$A$1:$I$89,3,0)*0.475*44/12</f>
        <v>0</v>
      </c>
      <c r="BQ4" s="23">
        <f>EXP(-LN(2)/25)*BQ3+(1-EXP(-LN(2)/25))/(LN(2)/25)*Calculateur!BL4*Calculateur!BN4*VLOOKUP('Données projet'!$B$11,Paramètres!$A$1:$I$89,3,0)*0.475*44/12</f>
        <v>0</v>
      </c>
      <c r="BR4" s="23">
        <f>EXP(-LN(2)/2)*BR3+(1-EXP(-LN(2)/2))/(LN(2)/2)*BL4*BO4*VLOOKUP('Données projet'!$B$11,Paramètres!$A$1:$I$89,3,0)*0.475*44/12</f>
        <v>0</v>
      </c>
      <c r="BS4" s="24">
        <f t="shared" ref="BS4:BS67" si="9">SUM(BP4:BR4)</f>
        <v>0</v>
      </c>
      <c r="BT4" s="77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3.65</v>
      </c>
      <c r="BY4" s="13">
        <f>IF('Données projet'!$A$114&gt;35,BY3+BX4-CG3,IF(A4&lt;'Données projet'!$A$114,$BV$205^A4,IF(A4='Données projet'!$A$114,'Données projet'!$B$114,BY3+BX4-CG3)))</f>
        <v>1.2392705892426346</v>
      </c>
      <c r="BZ4" s="14">
        <f>BY4*VLOOKUP('Données projet'!$B$12,Paramètres!$A$1:$I$89,3,0)*VLOOKUP('Données projet'!$B$12,Paramètres!$A$1:$I$89,5,0)</f>
        <v>1.2566203774920315</v>
      </c>
      <c r="CA4" s="14">
        <f>EXP(-1.0587+0.8836*LN(BZ4)+0.284)</f>
        <v>0.56390871417545174</v>
      </c>
      <c r="CB4" s="22">
        <f t="shared" ref="CB4:CB67" si="10">(BZ4+CA4)*0.475*44/12</f>
        <v>3.1707548346542</v>
      </c>
      <c r="CC4" s="60">
        <f t="shared" ref="CC4:CC67" si="11">CB4+(BT4+BU4)*44/12</f>
        <v>261.05964372354305</v>
      </c>
      <c r="CD4" s="60">
        <f ca="1">AVERAGE(OFFSET($CC$3,0,0,'Données projet'!$E$12+1,1))-AVERAGE(OFFSET($H$3,0,0,'Données projet'!$E$12+1,1))</f>
        <v>587.74247372331615</v>
      </c>
      <c r="CE4" s="60">
        <f>$CE$3</f>
        <v>306.61893266146666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>
        <f>EXP(-LN(2)/35)*CK3+(1-EXP(-LN(2)/35))/(LN(2)/35)*CG4*CH4*VLOOKUP('Données projet'!$B$12,Paramètres!$A$1:$I$89,3,0)*0.475*44/12</f>
        <v>0</v>
      </c>
      <c r="CL4" s="23">
        <f>EXP(-LN(2)/25)*CL3+(1-EXP(-LN(2)/25))/(LN(2)/25)*Calculateur!CG4*Calculateur!CI4*VLOOKUP('Données projet'!$B$12,Paramètres!$A$1:$I$89,3,0)*0.475*44/12</f>
        <v>0</v>
      </c>
      <c r="CM4" s="23">
        <f>EXP(-LN(2)/2)*CM3+(1-EXP(-LN(2)/2))/(LN(2)/2)*CG4*CJ4*VLOOKUP('Données projet'!$B$12,Paramètres!$A$1:$I$89,3,0)*0.475*44/12</f>
        <v>0</v>
      </c>
      <c r="CN4" s="24">
        <f t="shared" ref="CN4:CN67" si="12">SUM(CK4:CM4)</f>
        <v>0</v>
      </c>
      <c r="CO4" s="77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3.65</v>
      </c>
      <c r="CT4" s="13">
        <f>IF('Données projet'!$A$140&gt;35,CT3+CS4-DB3,IF(A4&lt;'Données projet'!$A$140,$CQ$205^A4,IF(A4='Données projet'!$A$140,'Données projet'!$B$140,CT3+CS4-DB3)))</f>
        <v>1.2392705892426346</v>
      </c>
      <c r="CU4" s="18">
        <f>CT4*VLOOKUP('Données projet'!$B$13,Paramètres!$A$1:$I$89,3,0)*VLOOKUP('Données projet'!$B$13,Paramètres!$A$1:$I$89,5,0)</f>
        <v>1.3339508622607719</v>
      </c>
      <c r="CV4" s="14">
        <f>EXP(-1.0587+0.8836*LN(CU4)+0.284)</f>
        <v>0.59446408362489378</v>
      </c>
      <c r="CW4" s="22">
        <f t="shared" ref="CW4:CW67" si="13">(CU4+CV4)*0.475*44/12</f>
        <v>3.3586560307508679</v>
      </c>
      <c r="CX4" s="60">
        <f t="shared" ref="CX4:CX67" si="14">CW4+(CO4+CP4)*44/12</f>
        <v>261.24754491963972</v>
      </c>
      <c r="CY4" s="60">
        <f ca="1">AVERAGE(OFFSET($CX$3,0,0,'Données projet'!$E$13+1,1))-AVERAGE(OFFSET($H$3,0,0,'Données projet'!$E$13+1,1))</f>
        <v>621.10465023992288</v>
      </c>
      <c r="CZ4" s="60">
        <f>$CZ$3</f>
        <v>322.81767004794284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>
        <f>EXP(-LN(2)/35)*DF3+(1-EXP(-LN(2)/35))/(LN(2)/35)*DB4*DC4*VLOOKUP('Données projet'!$B$13,Paramètres!$A$1:$I$89,3,0)*0.475*44/12</f>
        <v>0</v>
      </c>
      <c r="DG4" s="23">
        <f>EXP(-LN(2)/25)*DG3+(1-EXP(-LN(2)/25))/(LN(2)/25)*Calculateur!DB4*Calculateur!DD4*VLOOKUP('Données projet'!$B$13,Paramètres!$A$1:$I$89,3,0)*0.475*44/12</f>
        <v>0</v>
      </c>
      <c r="DH4" s="23">
        <f>EXP(-LN(2)/2)*DH3+(1-EXP(-LN(2)/2))/(LN(2)/2)*DB4*DE4*VLOOKUP('Données projet'!$B$13,Paramètres!$A$1:$I$89,3,0)*0.475*44/12</f>
        <v>0</v>
      </c>
      <c r="DI4" s="24">
        <f t="shared" ref="DI4:DI67" si="15">SUM(DF4:DH4)</f>
        <v>0</v>
      </c>
      <c r="DJ4" s="77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3.65</v>
      </c>
      <c r="DO4" s="13">
        <f>IF('Données projet'!$A$166&gt;35,DO3+DN4-DW3,IF(A4&lt;'Données projet'!$A$166,$DL$205^A4,IF(A4='Données projet'!$A$166,'Données projet'!$B$166,DO3+DN4-DW3)))</f>
        <v>1.2392705892426346</v>
      </c>
      <c r="DP4" s="18">
        <f>DO4*VLOOKUP('Données projet'!$B$14,Paramètres!$A$1:$I$89,3,0)*VLOOKUP('Données projet'!$B$14,Paramètres!$A$1:$I$89,5,0)</f>
        <v>1.1986225139154763</v>
      </c>
      <c r="DQ4" s="14">
        <f>EXP(-1.0587+0.8836*LN(DP4)+0.284)</f>
        <v>0.54084878793982472</v>
      </c>
      <c r="DR4" s="22">
        <f t="shared" ref="DR4:DR67" si="16">(DP4+DQ4)*0.475*44/12</f>
        <v>3.0295791840646493</v>
      </c>
      <c r="DS4" s="60">
        <f t="shared" ref="DS4:DS67" si="17">DR4+(DJ4+DK4)*44/12</f>
        <v>260.91846807295349</v>
      </c>
      <c r="DT4" s="60">
        <f ca="1">AVERAGE(OFFSET($DS$3,0,0,'Données projet'!$E$14+1,1))-AVERAGE(OFFSET($H$3,0,0,'Données projet'!$E$14+1,1))</f>
        <v>562.69380557620775</v>
      </c>
      <c r="DU4" s="60">
        <f>$DU$3</f>
        <v>294.45557293177131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>
        <f>EXP(-LN(2)/35)*EA3+(1-EXP(-LN(2)/35))/(LN(2)/35)*DW4*DX4*VLOOKUP('Données projet'!$B$14,Paramètres!$A$1:$I$89,3,0)*0.475*44/12</f>
        <v>0</v>
      </c>
      <c r="EB4" s="23">
        <f>EXP(-LN(2)/25)*EB3+(1-EXP(-LN(2)/25))/(LN(2)/25)*Calculateur!DW4*Calculateur!DY4*VLOOKUP('Données projet'!$B$14,Paramètres!$A$1:$I$89,3,0)*0.475*44/12</f>
        <v>0</v>
      </c>
      <c r="EC4" s="23">
        <f>EXP(-LN(2)/2)*EC3+(1-EXP(-LN(2)/2))/(LN(2)/2)*DW4*DZ4*VLOOKUP('Données projet'!$B$14,Paramètres!$A$1:$I$89,3,0)*0.475*44/12</f>
        <v>0</v>
      </c>
      <c r="ED4" s="24">
        <f t="shared" ref="ED4:ED67" si="18">SUM(EA4:EC4)</f>
        <v>0</v>
      </c>
      <c r="EE4" s="77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2.6666666666666665</v>
      </c>
      <c r="EJ4" s="13">
        <f>IF('Données projet'!$A$192&gt;35,EJ3+EI4-ER3,IF(A4&lt;'Données projet'!$A$192,$EG$205^A4,IF(A4='Données projet'!$A$192,'Données projet'!$B$192,EJ3+EI4-ER3)))</f>
        <v>1.2788040393997409</v>
      </c>
      <c r="EK4" s="18">
        <f>EJ4*VLOOKUP('Données projet'!$B$15,Paramètres!$A$1:$I$89,3,0)*VLOOKUP('Données projet'!$B$15,Paramètres!$A$1:$I$89,5,0)</f>
        <v>0.99746715073179792</v>
      </c>
      <c r="EL4" s="14">
        <f>EXP(-1.0587+0.8836*LN(EK4)+0.284)</f>
        <v>0.45981048445793882</v>
      </c>
      <c r="EM4" s="22">
        <f t="shared" ref="EM4:EM67" si="19">(EK4+EL4)*0.475*44/12</f>
        <v>2.5380918812887914</v>
      </c>
      <c r="EN4" s="60">
        <f t="shared" ref="EN4:EN67" si="20">EM4+(EE4+EF4)*44/12</f>
        <v>260.42698077017764</v>
      </c>
      <c r="EO4" s="60">
        <f ca="1">AVERAGE(OFFSET($EN$3,0,0,'Données projet'!$E$15+1,1))-AVERAGE(OFFSET($H$3,0,0,'Données projet'!$E$15+1,1))</f>
        <v>292.57482726862594</v>
      </c>
      <c r="EP4" s="60">
        <f>$EP$3</f>
        <v>283.48738729114024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>
        <f>EXP(-LN(2)/35)*EV3+(1-EXP(-LN(2)/35))/(LN(2)/35)*ER4*ES4*VLOOKUP('Données projet'!$B$15,Paramètres!$A$1:$I$89,3,0)*0.475*44/12</f>
        <v>0</v>
      </c>
      <c r="EW4" s="23">
        <f>EXP(-LN(2)/25)*EW3+(1-EXP(-LN(2)/25))/(LN(2)/25)*Calculateur!ER4*Calculateur!ET4*VLOOKUP('Données projet'!$B$15,Paramètres!$A$1:$I$89,3,0)*0.475*44/12</f>
        <v>0</v>
      </c>
      <c r="EX4" s="23">
        <f>EXP(-LN(2)/2)*EX3+(1-EXP(-LN(2)/2))/(LN(2)/2)*ER4*EU4*VLOOKUP('Données projet'!$B$15,Paramètres!$A$1:$I$89,3,0)*0.475*44/12</f>
        <v>0</v>
      </c>
      <c r="EY4" s="24">
        <f t="shared" ref="EY4:EY67" si="21">SUM(EV4:EX4)</f>
        <v>0</v>
      </c>
      <c r="EZ4" s="77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0" t="e">
        <f t="shared" ref="FI4:FI67" si="23">FH4+(EZ4+FA4)*44/12</f>
        <v>#N/A</v>
      </c>
      <c r="FJ4" s="60" t="e">
        <f ca="1">AVERAGE(OFFSET($FI$3,0,0,'Données projet'!$E$16+1,1))-AVERAGE(OFFSET($H$3,0,0,'Données projet'!$E$16+1,1))</f>
        <v>#N/A</v>
      </c>
      <c r="FK4" s="60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77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0" t="e">
        <f t="shared" ref="GD4:GD67" si="26">GC4+(FU4+FV4)*44/12</f>
        <v>#N/A</v>
      </c>
      <c r="GE4" s="60" t="e">
        <f ca="1">AVERAGE(OFFSET($GD$3,0,0,'Données projet'!$E$17+1,1))-AVERAGE(OFFSET($H$3,0,0,'Données projet'!$E$17+1,1))</f>
        <v>#N/A</v>
      </c>
      <c r="GF4" s="60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77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0" t="e">
        <f t="shared" ref="GY4:GY67" si="29">GX4+(GP4+GQ4)*44/12</f>
        <v>#N/A</v>
      </c>
      <c r="GZ4" s="60" t="e">
        <f ca="1">AVERAGE(OFFSET($GY$3,0,0,'Données projet'!$E$18+1,1))-AVERAGE(OFFSET($H$3,0,0,'Données projet'!$E$18+1,1))</f>
        <v>#N/A</v>
      </c>
      <c r="HA4" s="60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25">
      <c r="A5" s="11">
        <f t="shared" ref="A5:A68" si="31">A4+1</f>
        <v>2</v>
      </c>
      <c r="B5" s="74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2">
        <f t="shared" ref="D5:D68" si="32">IFERROR(EXP(-1.0587+0.8836*LN(C5)+0.284),0)</f>
        <v>0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0</v>
      </c>
      <c r="H5" s="67">
        <f t="shared" si="1"/>
        <v>256.66666666666669</v>
      </c>
      <c r="I5" s="7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3.1623931623931623</v>
      </c>
      <c r="N5" s="14">
        <f>IF('Données projet'!$A$36&gt;35,N4+M5-V4,IF(A5&lt;'Données projet'!$A$36,$K$205^A5,IF(A5='Données projet'!$A$36,'Données projet'!$B$36,N4+M5-V4)))</f>
        <v>1.6729422505775835</v>
      </c>
      <c r="O5" s="14">
        <f>N5*VLOOKUP('Données projet'!$B$9,Paramètres!$A$1:$I$89,3,0)*VLOOKUP('Données projet'!$B$9,Paramètres!$A$1:$I$89,5,0)</f>
        <v>1.5919718456496286</v>
      </c>
      <c r="P5" s="14">
        <f t="shared" ref="P5:P68" si="33">EXP(-1.0587+0.8836*LN(O5)+0.284)</f>
        <v>0.69499578258152339</v>
      </c>
      <c r="Q5" s="22">
        <f t="shared" si="2"/>
        <v>3.9831352858359232</v>
      </c>
      <c r="R5" s="60">
        <f t="shared" si="0"/>
        <v>263.09424639694709</v>
      </c>
      <c r="S5" s="60">
        <f ca="1">AVERAGE(OFFSET($R$3,0,0,'Données projet'!$E$9+1,1))-AVERAGE(OFFSET($H$3,0,0,'Données projet'!$E$9+1,1))</f>
        <v>403.49781966317852</v>
      </c>
      <c r="T5" s="60">
        <f t="shared" ref="T5:T68" si="34">$T$3</f>
        <v>326.06674572505409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0.6</v>
      </c>
      <c r="AI5" s="14">
        <f>IF('Données projet'!$A$62&gt;35,AI4+AH5-AQ4,IF(A5&lt;'Données projet'!$A$62,$AF$205^A5,IF(A5='Données projet'!$A$62,'Données projet'!$B$62,AI4+AH5-AQ4)))</f>
        <v>1.340393566225653</v>
      </c>
      <c r="AJ5" s="14">
        <f>AI5*VLOOKUP('Données projet'!$B$10,Paramètres!$A$1:$I$89,3,0)*VLOOKUP('Données projet'!$B$10,Paramètres!$A$1:$I$89,5,0)</f>
        <v>1.1709678194547306</v>
      </c>
      <c r="AK5" s="14">
        <f t="shared" ref="AK5:AK68" si="35">EXP(-1.0587+0.8836*LN(AJ5)+0.284)</f>
        <v>0.52980785325350399</v>
      </c>
      <c r="AL5" s="22">
        <f t="shared" si="4"/>
        <v>2.9621842966335081</v>
      </c>
      <c r="AM5" s="60">
        <f t="shared" si="5"/>
        <v>262.07329540774464</v>
      </c>
      <c r="AN5" s="60">
        <f ca="1">AVERAGE(OFFSET($AM$3,0,0,'Données projet'!$E$10+1,1))-AVERAGE(OFFSET($H$3,0,0,'Données projet'!$E$10+1,1))</f>
        <v>274.66236526869056</v>
      </c>
      <c r="AO5" s="60">
        <f t="shared" ref="AO5:AO68" si="36">$AO$3</f>
        <v>256.90876395053073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>
        <f>EXP(-LN(2)/35)*AU4+(1-EXP(-LN(2)/35))/(LN(2)/35)*AQ5*AR5*VLOOKUP('Données projet'!$B$10,Paramètres!$A$1:$I$89,3,0)*0.475*44/12</f>
        <v>0</v>
      </c>
      <c r="AV5" s="23">
        <f>EXP(-LN(2)/25)*AV4+(1-EXP(-LN(2)/25))/(LN(2)/25)*Calculateur!AQ5*Calculateur!AS5*VLOOKUP('Données projet'!$B$10,Paramètres!$A$1:$I$89,3,0)*0.475*44/12</f>
        <v>0</v>
      </c>
      <c r="AW5" s="23">
        <f>EXP(-LN(2)/2)*AW4+(1-EXP(-LN(2)/2))/(LN(2)/2)*AQ5*AT5*VLOOKUP('Données projet'!$B$10,Paramètres!$A$1:$I$89,3,0)*0.475*44/12</f>
        <v>0</v>
      </c>
      <c r="AX5" s="23">
        <f t="shared" si="6"/>
        <v>0</v>
      </c>
      <c r="AY5" s="76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3.65</v>
      </c>
      <c r="BD5" s="13">
        <f>IF('Données projet'!$A$88&gt;35,BD4+BC5-BL4,IF(A5&lt;'Données projet'!$A$88,$BA$205^A5,IF(A5='Données projet'!$A$88,'Données projet'!$B$88,BD4+BC5-BL4)))</f>
        <v>1.5357915933617867</v>
      </c>
      <c r="BE5" s="14">
        <f>BD5*VLOOKUP('Données projet'!$B$11,Paramètres!$A$1:$I$89,3,0)*VLOOKUP('Données projet'!$B$11,Paramètres!$A$1:$I$89,5,0)</f>
        <v>1.3895842336737447</v>
      </c>
      <c r="BF5" s="14">
        <f t="shared" ref="BF5:BF68" si="37">EXP(-1.0587+0.8836*LN(BE5)+0.284)</f>
        <v>0.61631841327304715</v>
      </c>
      <c r="BG5" s="22">
        <f t="shared" si="7"/>
        <v>3.4936137767656628</v>
      </c>
      <c r="BH5" s="60">
        <f t="shared" si="8"/>
        <v>262.60472488787678</v>
      </c>
      <c r="BI5" s="60">
        <f ca="1">AVERAGE(OFFSET($BH$3,0,0,'Données projet'!$E$11+1,1))-AVERAGE(OFFSET($H$3,0,0,'Données projet'!$E$11+1,1))</f>
        <v>529.25712986118265</v>
      </c>
      <c r="BJ5" s="60">
        <f t="shared" ref="BJ5:BJ68" si="38">$BJ$3</f>
        <v>278.21741231699929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>
        <f>EXP(-LN(2)/35)*BP4+(1-EXP(-LN(2)/35))/(LN(2)/35)*BL5*BM5*VLOOKUP('Données projet'!$B$11,Paramètres!$A$1:$I$89,3,0)*0.475*44/12</f>
        <v>0</v>
      </c>
      <c r="BQ5" s="23">
        <f>EXP(-LN(2)/25)*BQ4+(1-EXP(-LN(2)/25))/(LN(2)/25)*Calculateur!BL5*Calculateur!BN5*VLOOKUP('Données projet'!$B$11,Paramètres!$A$1:$I$89,3,0)*0.475*44/12</f>
        <v>0</v>
      </c>
      <c r="BR5" s="23">
        <f>EXP(-LN(2)/2)*BR4+(1-EXP(-LN(2)/2))/(LN(2)/2)*BL5*BO5*VLOOKUP('Données projet'!$B$11,Paramètres!$A$1:$I$89,3,0)*0.475*44/12</f>
        <v>0</v>
      </c>
      <c r="BS5" s="24">
        <f t="shared" si="9"/>
        <v>0</v>
      </c>
      <c r="BT5" s="77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3.65</v>
      </c>
      <c r="BY5" s="13">
        <f>IF('Données projet'!$A$114&gt;35,BY4+BX5-CG4,IF(A5&lt;'Données projet'!$A$114,$BV$205^A5,IF(A5='Données projet'!$A$114,'Données projet'!$B$114,BY4+BX5-CG4)))</f>
        <v>1.5357915933617867</v>
      </c>
      <c r="BZ5" s="14">
        <f>BY5*VLOOKUP('Données projet'!$B$12,Paramètres!$A$1:$I$89,3,0)*VLOOKUP('Données projet'!$B$12,Paramètres!$A$1:$I$89,5,0)</f>
        <v>1.5572926756688519</v>
      </c>
      <c r="CA5" s="14">
        <f t="shared" ref="CA5:CA68" si="39">EXP(-1.0587+0.8836*LN(BZ5)+0.284)</f>
        <v>0.68160129960402205</v>
      </c>
      <c r="CB5" s="22">
        <f t="shared" si="10"/>
        <v>3.8994070069335893</v>
      </c>
      <c r="CC5" s="60">
        <f t="shared" si="11"/>
        <v>263.01051811804473</v>
      </c>
      <c r="CD5" s="60">
        <f ca="1">AVERAGE(OFFSET($CC$3,0,0,'Données projet'!$E$12+1,1))-AVERAGE(OFFSET($H$3,0,0,'Données projet'!$E$12+1,1))</f>
        <v>587.74247372331615</v>
      </c>
      <c r="CE5" s="60">
        <f t="shared" ref="CE5:CE68" si="40">$CE$3</f>
        <v>306.61893266146666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>
        <f>EXP(-LN(2)/35)*CK4+(1-EXP(-LN(2)/35))/(LN(2)/35)*CG5*CH5*VLOOKUP('Données projet'!$B$12,Paramètres!$A$1:$I$89,3,0)*0.475*44/12</f>
        <v>0</v>
      </c>
      <c r="CL5" s="23">
        <f>EXP(-LN(2)/25)*CL4+(1-EXP(-LN(2)/25))/(LN(2)/25)*Calculateur!CG5*Calculateur!CI5*VLOOKUP('Données projet'!$B$12,Paramètres!$A$1:$I$89,3,0)*0.475*44/12</f>
        <v>0</v>
      </c>
      <c r="CM5" s="23">
        <f>EXP(-LN(2)/2)*CM4+(1-EXP(-LN(2)/2))/(LN(2)/2)*CG5*CJ5*VLOOKUP('Données projet'!$B$12,Paramètres!$A$1:$I$89,3,0)*0.475*44/12</f>
        <v>0</v>
      </c>
      <c r="CN5" s="24">
        <f t="shared" si="12"/>
        <v>0</v>
      </c>
      <c r="CO5" s="77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3.65</v>
      </c>
      <c r="CT5" s="13">
        <f>IF('Données projet'!$A$140&gt;35,CT4+CS5-DB4,IF(A5&lt;'Données projet'!$A$140,$CQ$205^A5,IF(A5='Données projet'!$A$140,'Données projet'!$B$140,CT4+CS5-DB4)))</f>
        <v>1.5357915933617867</v>
      </c>
      <c r="CU5" s="18">
        <f>CT5*VLOOKUP('Données projet'!$B$13,Paramètres!$A$1:$I$89,3,0)*VLOOKUP('Données projet'!$B$13,Paramètres!$A$1:$I$89,5,0)</f>
        <v>1.6531260710946272</v>
      </c>
      <c r="CV5" s="14">
        <f t="shared" ref="CV5:CV68" si="41">EXP(-1.0587+0.8836*LN(CU5)+0.284)</f>
        <v>0.7185338367382873</v>
      </c>
      <c r="CW5" s="22">
        <f t="shared" si="13"/>
        <v>4.1306410061423255</v>
      </c>
      <c r="CX5" s="60">
        <f t="shared" si="14"/>
        <v>263.24175211725344</v>
      </c>
      <c r="CY5" s="60">
        <f ca="1">AVERAGE(OFFSET($CX$3,0,0,'Données projet'!$E$13+1,1))-AVERAGE(OFFSET($H$3,0,0,'Données projet'!$E$13+1,1))</f>
        <v>621.10465023992288</v>
      </c>
      <c r="CZ5" s="60">
        <f t="shared" ref="CZ5:CZ68" si="42">$CZ$3</f>
        <v>322.81767004794284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>
        <f>EXP(-LN(2)/35)*DF4+(1-EXP(-LN(2)/35))/(LN(2)/35)*DB5*DC5*VLOOKUP('Données projet'!$B$13,Paramètres!$A$1:$I$89,3,0)*0.475*44/12</f>
        <v>0</v>
      </c>
      <c r="DG5" s="23">
        <f>EXP(-LN(2)/25)*DG4+(1-EXP(-LN(2)/25))/(LN(2)/25)*Calculateur!DB5*Calculateur!DD5*VLOOKUP('Données projet'!$B$13,Paramètres!$A$1:$I$89,3,0)*0.475*44/12</f>
        <v>0</v>
      </c>
      <c r="DH5" s="23">
        <f>EXP(-LN(2)/2)*DH4+(1-EXP(-LN(2)/2))/(LN(2)/2)*DB5*DE5*VLOOKUP('Données projet'!$B$13,Paramètres!$A$1:$I$89,3,0)*0.475*44/12</f>
        <v>0</v>
      </c>
      <c r="DI5" s="24">
        <f t="shared" si="15"/>
        <v>0</v>
      </c>
      <c r="DJ5" s="77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3.65</v>
      </c>
      <c r="DO5" s="13">
        <f>IF('Données projet'!$A$166&gt;35,DO4+DN5-DW4,IF(A5&lt;'Données projet'!$A$166,$DL$205^A5,IF(A5='Données projet'!$A$166,'Données projet'!$B$166,DO4+DN5-DW4)))</f>
        <v>1.5357915933617867</v>
      </c>
      <c r="DP5" s="18">
        <f>DO5*VLOOKUP('Données projet'!$B$14,Paramètres!$A$1:$I$89,3,0)*VLOOKUP('Données projet'!$B$14,Paramètres!$A$1:$I$89,5,0)</f>
        <v>1.4854176290995202</v>
      </c>
      <c r="DQ5" s="14">
        <f t="shared" ref="DQ5:DQ68" si="43">EXP(-1.0587+0.8836*LN(DP5)+0.284)</f>
        <v>0.65372856897250708</v>
      </c>
      <c r="DR5" s="22">
        <f t="shared" si="16"/>
        <v>3.725679628308781</v>
      </c>
      <c r="DS5" s="60">
        <f t="shared" si="17"/>
        <v>262.83679073941994</v>
      </c>
      <c r="DT5" s="60">
        <f ca="1">AVERAGE(OFFSET($DS$3,0,0,'Données projet'!$E$14+1,1))-AVERAGE(OFFSET($H$3,0,0,'Données projet'!$E$14+1,1))</f>
        <v>562.69380557620775</v>
      </c>
      <c r="DU5" s="60">
        <f t="shared" ref="DU5:DU68" si="44">$DU$3</f>
        <v>294.45557293177131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>
        <f>EXP(-LN(2)/35)*EA4+(1-EXP(-LN(2)/35))/(LN(2)/35)*DW5*DX5*VLOOKUP('Données projet'!$B$14,Paramètres!$A$1:$I$89,3,0)*0.475*44/12</f>
        <v>0</v>
      </c>
      <c r="EB5" s="23">
        <f>EXP(-LN(2)/25)*EB4+(1-EXP(-LN(2)/25))/(LN(2)/25)*Calculateur!DW5*Calculateur!DY5*VLOOKUP('Données projet'!$B$14,Paramètres!$A$1:$I$89,3,0)*0.475*44/12</f>
        <v>0</v>
      </c>
      <c r="EC5" s="23">
        <f>EXP(-LN(2)/2)*EC4+(1-EXP(-LN(2)/2))/(LN(2)/2)*DW5*DZ5*VLOOKUP('Données projet'!$B$14,Paramètres!$A$1:$I$89,3,0)*0.475*44/12</f>
        <v>0</v>
      </c>
      <c r="ED5" s="24">
        <f t="shared" si="18"/>
        <v>0</v>
      </c>
      <c r="EE5" s="77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2.6666666666666665</v>
      </c>
      <c r="EJ5" s="13">
        <f>IF('Données projet'!$A$192&gt;35,EJ4+EI5-ER4,IF(A5&lt;'Données projet'!$A$192,$EG$205^A5,IF(A5='Données projet'!$A$192,'Données projet'!$B$192,EJ4+EI5-ER4)))</f>
        <v>1.6353397711850939</v>
      </c>
      <c r="EK5" s="18">
        <f>EJ5*VLOOKUP('Données projet'!$B$15,Paramètres!$A$1:$I$89,3,0)*VLOOKUP('Données projet'!$B$15,Paramètres!$A$1:$I$89,5,0)</f>
        <v>1.2755650215243732</v>
      </c>
      <c r="EL5" s="14">
        <f t="shared" ref="EL5:EL68" si="45">EXP(-1.0587+0.8836*LN(EK5)+0.284)</f>
        <v>0.57141400910743001</v>
      </c>
      <c r="EM5" s="22">
        <f t="shared" si="19"/>
        <v>3.2168218116837237</v>
      </c>
      <c r="EN5" s="60">
        <f t="shared" si="20"/>
        <v>262.32793292279484</v>
      </c>
      <c r="EO5" s="60">
        <f ca="1">AVERAGE(OFFSET($EN$3,0,0,'Données projet'!$E$15+1,1))-AVERAGE(OFFSET($H$3,0,0,'Données projet'!$E$15+1,1))</f>
        <v>292.57482726862594</v>
      </c>
      <c r="EP5" s="60">
        <f t="shared" ref="EP5:EP68" si="46">$EP$3</f>
        <v>283.48738729114024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>
        <f>EXP(-LN(2)/35)*EV4+(1-EXP(-LN(2)/35))/(LN(2)/35)*ER5*ES5*VLOOKUP('Données projet'!$B$15,Paramètres!$A$1:$I$89,3,0)*0.475*44/12</f>
        <v>0</v>
      </c>
      <c r="EW5" s="23">
        <f>EXP(-LN(2)/25)*EW4+(1-EXP(-LN(2)/25))/(LN(2)/25)*Calculateur!ER5*Calculateur!ET5*VLOOKUP('Données projet'!$B$15,Paramètres!$A$1:$I$89,3,0)*0.475*44/12</f>
        <v>0</v>
      </c>
      <c r="EX5" s="23">
        <f>EXP(-LN(2)/2)*EX4+(1-EXP(-LN(2)/2))/(LN(2)/2)*ER5*EU5*VLOOKUP('Données projet'!$B$15,Paramètres!$A$1:$I$89,3,0)*0.475*44/12</f>
        <v>0</v>
      </c>
      <c r="EY5" s="24">
        <f t="shared" si="21"/>
        <v>0</v>
      </c>
      <c r="EZ5" s="77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0" t="e">
        <f t="shared" si="23"/>
        <v>#N/A</v>
      </c>
      <c r="FJ5" s="60" t="e">
        <f ca="1">AVERAGE(OFFSET($FI$3,0,0,'Données projet'!$E$16+1,1))-AVERAGE(OFFSET($H$3,0,0,'Données projet'!$E$16+1,1))</f>
        <v>#N/A</v>
      </c>
      <c r="FK5" s="60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77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0" t="e">
        <f t="shared" si="26"/>
        <v>#N/A</v>
      </c>
      <c r="GE5" s="60" t="e">
        <f ca="1">AVERAGE(OFFSET($GD$3,0,0,'Données projet'!$E$17+1,1))-AVERAGE(OFFSET($H$3,0,0,'Données projet'!$E$17+1,1))</f>
        <v>#N/A</v>
      </c>
      <c r="GF5" s="60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77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0" t="e">
        <f t="shared" si="29"/>
        <v>#N/A</v>
      </c>
      <c r="GZ5" s="60" t="e">
        <f ca="1">AVERAGE(OFFSET($GY$3,0,0,'Données projet'!$E$18+1,1))-AVERAGE(OFFSET($H$3,0,0,'Données projet'!$E$18+1,1))</f>
        <v>#N/A</v>
      </c>
      <c r="HA5" s="60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25">
      <c r="A6" s="11">
        <f t="shared" si="31"/>
        <v>3</v>
      </c>
      <c r="B6" s="74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2">
        <f t="shared" si="32"/>
        <v>0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0</v>
      </c>
      <c r="H6" s="67">
        <f t="shared" si="1"/>
        <v>256.66666666666669</v>
      </c>
      <c r="I6" s="7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3.1623931623931623</v>
      </c>
      <c r="N6" s="14">
        <f>IF('Données projet'!$A$36&gt;35,N5+M6-V5,IF(A6&lt;'Données projet'!$A$36,$K$205^A6,IF(A6='Données projet'!$A$36,'Données projet'!$B$36,N5+M6-V5)))</f>
        <v>2.1638214630922641</v>
      </c>
      <c r="O6" s="14">
        <f>N6*VLOOKUP('Données projet'!$B$9,Paramètres!$A$1:$I$89,3,0)*VLOOKUP('Données projet'!$B$9,Paramètres!$A$1:$I$89,5,0)</f>
        <v>2.0590925042785986</v>
      </c>
      <c r="P6" s="14">
        <f t="shared" si="33"/>
        <v>0.87240079502149648</v>
      </c>
      <c r="Q6" s="22">
        <f t="shared" si="2"/>
        <v>5.1056841629476652</v>
      </c>
      <c r="R6" s="60">
        <f t="shared" si="0"/>
        <v>265.439017496281</v>
      </c>
      <c r="S6" s="60">
        <f ca="1">AVERAGE(OFFSET($R$3,0,0,'Données projet'!$E$9+1,1))-AVERAGE(OFFSET($H$3,0,0,'Données projet'!$E$9+1,1))</f>
        <v>403.49781966317852</v>
      </c>
      <c r="T6" s="60">
        <f t="shared" si="34"/>
        <v>326.06674572505409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0.6</v>
      </c>
      <c r="AI6" s="14">
        <f>IF('Données projet'!$A$62&gt;35,AI5+AH6-AQ5,IF(A6&lt;'Données projet'!$A$62,$AF$205^A6,IF(A6='Données projet'!$A$62,'Données projet'!$B$62,AI5+AH6-AQ5)))</f>
        <v>1.5518455739153598</v>
      </c>
      <c r="AJ6" s="14">
        <f>AI6*VLOOKUP('Données projet'!$B$10,Paramètres!$A$1:$I$89,3,0)*VLOOKUP('Données projet'!$B$10,Paramètres!$A$1:$I$89,5,0)</f>
        <v>1.3556922933724584</v>
      </c>
      <c r="AK6" s="14">
        <f t="shared" si="35"/>
        <v>0.6030171126730397</v>
      </c>
      <c r="AL6" s="22">
        <f t="shared" si="4"/>
        <v>3.4114188821959091</v>
      </c>
      <c r="AM6" s="60">
        <f t="shared" si="5"/>
        <v>263.74475221552922</v>
      </c>
      <c r="AN6" s="60">
        <f ca="1">AVERAGE(OFFSET($AM$3,0,0,'Données projet'!$E$10+1,1))-AVERAGE(OFFSET($H$3,0,0,'Données projet'!$E$10+1,1))</f>
        <v>274.66236526869056</v>
      </c>
      <c r="AO6" s="60">
        <f t="shared" si="36"/>
        <v>256.90876395053073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>
        <f>EXP(-LN(2)/35)*AU5+(1-EXP(-LN(2)/35))/(LN(2)/35)*AQ6*AR6*VLOOKUP('Données projet'!$B$10,Paramètres!$A$1:$I$89,3,0)*0.475*44/12</f>
        <v>0</v>
      </c>
      <c r="AV6" s="23">
        <f>EXP(-LN(2)/25)*AV5+(1-EXP(-LN(2)/25))/(LN(2)/25)*Calculateur!AQ6*Calculateur!AS6*VLOOKUP('Données projet'!$B$10,Paramètres!$A$1:$I$89,3,0)*0.475*44/12</f>
        <v>0</v>
      </c>
      <c r="AW6" s="23">
        <f>EXP(-LN(2)/2)*AW5+(1-EXP(-LN(2)/2))/(LN(2)/2)*AQ6*AT6*VLOOKUP('Données projet'!$B$10,Paramètres!$A$1:$I$89,3,0)*0.475*44/12</f>
        <v>0</v>
      </c>
      <c r="AX6" s="23">
        <f t="shared" si="6"/>
        <v>0</v>
      </c>
      <c r="AY6" s="76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3.65</v>
      </c>
      <c r="BD6" s="13">
        <f>IF('Données projet'!$A$88&gt;35,BD5+BC6-BL5,IF(A6&lt;'Données projet'!$A$88,$BA$205^A6,IF(A6='Données projet'!$A$88,'Données projet'!$B$88,BD5+BC6-BL5)))</f>
        <v>1.9032613528593461</v>
      </c>
      <c r="BE6" s="14">
        <f>BD6*VLOOKUP('Données projet'!$B$11,Paramètres!$A$1:$I$89,3,0)*VLOOKUP('Données projet'!$B$11,Paramètres!$A$1:$I$89,5,0)</f>
        <v>1.7220708720671365</v>
      </c>
      <c r="BF6" s="14">
        <f t="shared" si="37"/>
        <v>0.74494935243383209</v>
      </c>
      <c r="BG6" s="22">
        <f t="shared" si="7"/>
        <v>4.2967268910058536</v>
      </c>
      <c r="BH6" s="60">
        <f t="shared" si="8"/>
        <v>264.63006022433916</v>
      </c>
      <c r="BI6" s="60">
        <f ca="1">AVERAGE(OFFSET($BH$3,0,0,'Données projet'!$E$11+1,1))-AVERAGE(OFFSET($H$3,0,0,'Données projet'!$E$11+1,1))</f>
        <v>529.25712986118265</v>
      </c>
      <c r="BJ6" s="60">
        <f t="shared" si="38"/>
        <v>278.21741231699929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>
        <f>EXP(-LN(2)/35)*BP5+(1-EXP(-LN(2)/35))/(LN(2)/35)*BL6*BM6*VLOOKUP('Données projet'!$B$11,Paramètres!$A$1:$I$89,3,0)*0.475*44/12</f>
        <v>0</v>
      </c>
      <c r="BQ6" s="23">
        <f>EXP(-LN(2)/25)*BQ5+(1-EXP(-LN(2)/25))/(LN(2)/25)*Calculateur!BL6*Calculateur!BN6*VLOOKUP('Données projet'!$B$11,Paramètres!$A$1:$I$89,3,0)*0.475*44/12</f>
        <v>0</v>
      </c>
      <c r="BR6" s="23">
        <f>EXP(-LN(2)/2)*BR5+(1-EXP(-LN(2)/2))/(LN(2)/2)*BL6*BO6*VLOOKUP('Données projet'!$B$11,Paramètres!$A$1:$I$89,3,0)*0.475*44/12</f>
        <v>0</v>
      </c>
      <c r="BS6" s="24">
        <f t="shared" si="9"/>
        <v>0</v>
      </c>
      <c r="BT6" s="77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3.65</v>
      </c>
      <c r="BY6" s="13">
        <f>IF('Données projet'!$A$114&gt;35,BY5+BX6-CG5,IF(A6&lt;'Données projet'!$A$114,$BV$205^A6,IF(A6='Données projet'!$A$114,'Données projet'!$B$114,BY5+BX6-CG5)))</f>
        <v>1.9032613528593461</v>
      </c>
      <c r="BZ6" s="14">
        <f>BY6*VLOOKUP('Données projet'!$B$12,Paramètres!$A$1:$I$89,3,0)*VLOOKUP('Données projet'!$B$12,Paramètres!$A$1:$I$89,5,0)</f>
        <v>1.9299070117993768</v>
      </c>
      <c r="CA6" s="14">
        <f t="shared" si="39"/>
        <v>0.82385733708903885</v>
      </c>
      <c r="CB6" s="22">
        <f t="shared" si="10"/>
        <v>4.7961395743139903</v>
      </c>
      <c r="CC6" s="60">
        <f t="shared" si="11"/>
        <v>265.12947290764731</v>
      </c>
      <c r="CD6" s="60">
        <f ca="1">AVERAGE(OFFSET($CC$3,0,0,'Données projet'!$E$12+1,1))-AVERAGE(OFFSET($H$3,0,0,'Données projet'!$E$12+1,1))</f>
        <v>587.74247372331615</v>
      </c>
      <c r="CE6" s="60">
        <f t="shared" si="40"/>
        <v>306.61893266146666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>
        <f>EXP(-LN(2)/35)*CK5+(1-EXP(-LN(2)/35))/(LN(2)/35)*CG6*CH6*VLOOKUP('Données projet'!$B$12,Paramètres!$A$1:$I$89,3,0)*0.475*44/12</f>
        <v>0</v>
      </c>
      <c r="CL6" s="23">
        <f>EXP(-LN(2)/25)*CL5+(1-EXP(-LN(2)/25))/(LN(2)/25)*Calculateur!CG6*Calculateur!CI6*VLOOKUP('Données projet'!$B$12,Paramètres!$A$1:$I$89,3,0)*0.475*44/12</f>
        <v>0</v>
      </c>
      <c r="CM6" s="23">
        <f>EXP(-LN(2)/2)*CM5+(1-EXP(-LN(2)/2))/(LN(2)/2)*CG6*CJ6*VLOOKUP('Données projet'!$B$12,Paramètres!$A$1:$I$89,3,0)*0.475*44/12</f>
        <v>0</v>
      </c>
      <c r="CN6" s="24">
        <f t="shared" si="12"/>
        <v>0</v>
      </c>
      <c r="CO6" s="77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3.65</v>
      </c>
      <c r="CT6" s="13">
        <f>IF('Données projet'!$A$140&gt;35,CT5+CS6-DB5,IF(A6&lt;'Données projet'!$A$140,$CQ$205^A6,IF(A6='Données projet'!$A$140,'Données projet'!$B$140,CT5+CS6-DB5)))</f>
        <v>1.9032613528593461</v>
      </c>
      <c r="CU6" s="18">
        <f>CT6*VLOOKUP('Données projet'!$B$13,Paramètres!$A$1:$I$89,3,0)*VLOOKUP('Données projet'!$B$13,Paramètres!$A$1:$I$89,5,0)</f>
        <v>2.0486705202177999</v>
      </c>
      <c r="CV6" s="14">
        <f t="shared" si="41"/>
        <v>0.86849801150244532</v>
      </c>
      <c r="CW6" s="22">
        <f t="shared" si="13"/>
        <v>5.0807351927460944</v>
      </c>
      <c r="CX6" s="60">
        <f t="shared" si="14"/>
        <v>265.4140685260794</v>
      </c>
      <c r="CY6" s="60">
        <f ca="1">AVERAGE(OFFSET($CX$3,0,0,'Données projet'!$E$13+1,1))-AVERAGE(OFFSET($H$3,0,0,'Données projet'!$E$13+1,1))</f>
        <v>621.10465023992288</v>
      </c>
      <c r="CZ6" s="60">
        <f t="shared" si="42"/>
        <v>322.81767004794284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>
        <f>EXP(-LN(2)/35)*DF5+(1-EXP(-LN(2)/35))/(LN(2)/35)*DB6*DC6*VLOOKUP('Données projet'!$B$13,Paramètres!$A$1:$I$89,3,0)*0.475*44/12</f>
        <v>0</v>
      </c>
      <c r="DG6" s="23">
        <f>EXP(-LN(2)/25)*DG5+(1-EXP(-LN(2)/25))/(LN(2)/25)*Calculateur!DB6*Calculateur!DD6*VLOOKUP('Données projet'!$B$13,Paramètres!$A$1:$I$89,3,0)*0.475*44/12</f>
        <v>0</v>
      </c>
      <c r="DH6" s="23">
        <f>EXP(-LN(2)/2)*DH5+(1-EXP(-LN(2)/2))/(LN(2)/2)*DB6*DE6*VLOOKUP('Données projet'!$B$13,Paramètres!$A$1:$I$89,3,0)*0.475*44/12</f>
        <v>0</v>
      </c>
      <c r="DI6" s="24">
        <f t="shared" si="15"/>
        <v>0</v>
      </c>
      <c r="DJ6" s="77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3.65</v>
      </c>
      <c r="DO6" s="13">
        <f>IF('Données projet'!$A$166&gt;35,DO5+DN6-DW5,IF(A6&lt;'Données projet'!$A$166,$DL$205^A6,IF(A6='Données projet'!$A$166,'Données projet'!$B$166,DO5+DN6-DW5)))</f>
        <v>1.9032613528593461</v>
      </c>
      <c r="DP6" s="18">
        <f>DO6*VLOOKUP('Données projet'!$B$14,Paramètres!$A$1:$I$89,3,0)*VLOOKUP('Données projet'!$B$14,Paramètres!$A$1:$I$89,5,0)</f>
        <v>1.8408343804855598</v>
      </c>
      <c r="DQ6" s="14">
        <f t="shared" si="43"/>
        <v>0.79016732850363813</v>
      </c>
      <c r="DR6" s="22">
        <f t="shared" si="16"/>
        <v>4.5823279764895188</v>
      </c>
      <c r="DS6" s="60">
        <f t="shared" si="17"/>
        <v>264.91566130982284</v>
      </c>
      <c r="DT6" s="60">
        <f ca="1">AVERAGE(OFFSET($DS$3,0,0,'Données projet'!$E$14+1,1))-AVERAGE(OFFSET($H$3,0,0,'Données projet'!$E$14+1,1))</f>
        <v>562.69380557620775</v>
      </c>
      <c r="DU6" s="60">
        <f t="shared" si="44"/>
        <v>294.45557293177131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>
        <f>EXP(-LN(2)/35)*EA5+(1-EXP(-LN(2)/35))/(LN(2)/35)*DW6*DX6*VLOOKUP('Données projet'!$B$14,Paramètres!$A$1:$I$89,3,0)*0.475*44/12</f>
        <v>0</v>
      </c>
      <c r="EB6" s="23">
        <f>EXP(-LN(2)/25)*EB5+(1-EXP(-LN(2)/25))/(LN(2)/25)*Calculateur!DW6*Calculateur!DY6*VLOOKUP('Données projet'!$B$14,Paramètres!$A$1:$I$89,3,0)*0.475*44/12</f>
        <v>0</v>
      </c>
      <c r="EC6" s="23">
        <f>EXP(-LN(2)/2)*EC5+(1-EXP(-LN(2)/2))/(LN(2)/2)*DW6*DZ6*VLOOKUP('Données projet'!$B$14,Paramètres!$A$1:$I$89,3,0)*0.475*44/12</f>
        <v>0</v>
      </c>
      <c r="ED6" s="24">
        <f t="shared" si="18"/>
        <v>0</v>
      </c>
      <c r="EE6" s="77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2.6666666666666665</v>
      </c>
      <c r="EJ6" s="13">
        <f>IF('Données projet'!$A$192&gt;35,EJ5+EI6-ER5,IF(A6&lt;'Données projet'!$A$192,$EG$205^A6,IF(A6='Données projet'!$A$192,'Données projet'!$B$192,EJ5+EI6-ER5)))</f>
        <v>2.0912791051825459</v>
      </c>
      <c r="EK6" s="18">
        <f>EJ6*VLOOKUP('Données projet'!$B$15,Paramètres!$A$1:$I$89,3,0)*VLOOKUP('Données projet'!$B$15,Paramètres!$A$1:$I$89,5,0)</f>
        <v>1.6311977020423858</v>
      </c>
      <c r="EL6" s="14">
        <f t="shared" si="45"/>
        <v>0.71010553443370616</v>
      </c>
      <c r="EM6" s="22">
        <f t="shared" si="19"/>
        <v>4.0777698035291934</v>
      </c>
      <c r="EN6" s="60">
        <f t="shared" si="20"/>
        <v>264.41110313686249</v>
      </c>
      <c r="EO6" s="60">
        <f ca="1">AVERAGE(OFFSET($EN$3,0,0,'Données projet'!$E$15+1,1))-AVERAGE(OFFSET($H$3,0,0,'Données projet'!$E$15+1,1))</f>
        <v>292.57482726862594</v>
      </c>
      <c r="EP6" s="60">
        <f t="shared" si="46"/>
        <v>283.48738729114024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>
        <f>EXP(-LN(2)/35)*EV5+(1-EXP(-LN(2)/35))/(LN(2)/35)*ER6*ES6*VLOOKUP('Données projet'!$B$15,Paramètres!$A$1:$I$89,3,0)*0.475*44/12</f>
        <v>0</v>
      </c>
      <c r="EW6" s="23">
        <f>EXP(-LN(2)/25)*EW5+(1-EXP(-LN(2)/25))/(LN(2)/25)*Calculateur!ER6*Calculateur!ET6*VLOOKUP('Données projet'!$B$15,Paramètres!$A$1:$I$89,3,0)*0.475*44/12</f>
        <v>0</v>
      </c>
      <c r="EX6" s="23">
        <f>EXP(-LN(2)/2)*EX5+(1-EXP(-LN(2)/2))/(LN(2)/2)*ER6*EU6*VLOOKUP('Données projet'!$B$15,Paramètres!$A$1:$I$89,3,0)*0.475*44/12</f>
        <v>0</v>
      </c>
      <c r="EY6" s="24">
        <f t="shared" si="21"/>
        <v>0</v>
      </c>
      <c r="EZ6" s="77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0" t="e">
        <f t="shared" si="23"/>
        <v>#N/A</v>
      </c>
      <c r="FJ6" s="60" t="e">
        <f ca="1">AVERAGE(OFFSET($FI$3,0,0,'Données projet'!$E$16+1,1))-AVERAGE(OFFSET($H$3,0,0,'Données projet'!$E$16+1,1))</f>
        <v>#N/A</v>
      </c>
      <c r="FK6" s="60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77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0" t="e">
        <f t="shared" si="26"/>
        <v>#N/A</v>
      </c>
      <c r="GE6" s="60" t="e">
        <f ca="1">AVERAGE(OFFSET($GD$3,0,0,'Données projet'!$E$17+1,1))-AVERAGE(OFFSET($H$3,0,0,'Données projet'!$E$17+1,1))</f>
        <v>#N/A</v>
      </c>
      <c r="GF6" s="60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77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0" t="e">
        <f t="shared" si="29"/>
        <v>#N/A</v>
      </c>
      <c r="GZ6" s="60" t="e">
        <f ca="1">AVERAGE(OFFSET($GY$3,0,0,'Données projet'!$E$18+1,1))-AVERAGE(OFFSET($H$3,0,0,'Données projet'!$E$18+1,1))</f>
        <v>#N/A</v>
      </c>
      <c r="HA6" s="60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25">
      <c r="A7" s="11">
        <f t="shared" si="31"/>
        <v>4</v>
      </c>
      <c r="B7" s="74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2">
        <f t="shared" si="32"/>
        <v>0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0</v>
      </c>
      <c r="H7" s="67">
        <f t="shared" si="1"/>
        <v>256.66666666666669</v>
      </c>
      <c r="I7" s="7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3.1623931623931623</v>
      </c>
      <c r="N7" s="14">
        <f>IF('Données projet'!$A$36&gt;35,N6+M7-V6,IF(A7&lt;'Données projet'!$A$36,$K$205^A7,IF(A7='Données projet'!$A$36,'Données projet'!$B$36,N6+M7-V6)))</f>
        <v>2.7987357737675902</v>
      </c>
      <c r="O7" s="14">
        <f>N7*VLOOKUP('Données projet'!$B$9,Paramètres!$A$1:$I$89,3,0)*VLOOKUP('Données projet'!$B$9,Paramètres!$A$1:$I$89,5,0)</f>
        <v>2.6632769623172385</v>
      </c>
      <c r="P7" s="14">
        <f t="shared" si="33"/>
        <v>1.0950903102276937</v>
      </c>
      <c r="Q7" s="22">
        <f t="shared" si="2"/>
        <v>6.5458229996824224</v>
      </c>
      <c r="R7" s="60">
        <f t="shared" si="0"/>
        <v>268.10137855523794</v>
      </c>
      <c r="S7" s="60">
        <f ca="1">AVERAGE(OFFSET($R$3,0,0,'Données projet'!$E$9+1,1))-AVERAGE(OFFSET($H$3,0,0,'Données projet'!$E$9+1,1))</f>
        <v>403.49781966317852</v>
      </c>
      <c r="T7" s="60">
        <f t="shared" si="34"/>
        <v>326.06674572505409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0.6</v>
      </c>
      <c r="AI7" s="14">
        <f>IF('Données projet'!$A$62&gt;35,AI6+AH7-AQ6,IF(A7&lt;'Données projet'!$A$62,$AF$205^A7,IF(A7='Données projet'!$A$62,'Données projet'!$B$62,AI6+AH7-AQ6)))</f>
        <v>1.796654912379124</v>
      </c>
      <c r="AJ7" s="14">
        <f>AI7*VLOOKUP('Données projet'!$B$10,Paramètres!$A$1:$I$89,3,0)*VLOOKUP('Données projet'!$B$10,Paramètres!$A$1:$I$89,5,0)</f>
        <v>1.5695577314544029</v>
      </c>
      <c r="AK7" s="14">
        <f t="shared" si="35"/>
        <v>0.68634248424879218</v>
      </c>
      <c r="AL7" s="22">
        <f t="shared" si="4"/>
        <v>3.9290262090163979</v>
      </c>
      <c r="AM7" s="60">
        <f t="shared" si="5"/>
        <v>265.48458176457194</v>
      </c>
      <c r="AN7" s="60">
        <f ca="1">AVERAGE(OFFSET($AM$3,0,0,'Données projet'!$E$10+1,1))-AVERAGE(OFFSET($H$3,0,0,'Données projet'!$E$10+1,1))</f>
        <v>274.66236526869056</v>
      </c>
      <c r="AO7" s="60">
        <f t="shared" si="36"/>
        <v>256.90876395053073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>
        <f>EXP(-LN(2)/35)*AU6+(1-EXP(-LN(2)/35))/(LN(2)/35)*AQ7*AR7*VLOOKUP('Données projet'!$B$10,Paramètres!$A$1:$I$89,3,0)*0.475*44/12</f>
        <v>0</v>
      </c>
      <c r="AV7" s="23">
        <f>EXP(-LN(2)/25)*AV6+(1-EXP(-LN(2)/25))/(LN(2)/25)*Calculateur!AQ7*Calculateur!AS7*VLOOKUP('Données projet'!$B$10,Paramètres!$A$1:$I$89,3,0)*0.475*44/12</f>
        <v>0</v>
      </c>
      <c r="AW7" s="23">
        <f>EXP(-LN(2)/2)*AW6+(1-EXP(-LN(2)/2))/(LN(2)/2)*AQ7*AT7*VLOOKUP('Données projet'!$B$10,Paramètres!$A$1:$I$89,3,0)*0.475*44/12</f>
        <v>0</v>
      </c>
      <c r="AX7" s="23">
        <f t="shared" si="6"/>
        <v>0</v>
      </c>
      <c r="AY7" s="76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3.65</v>
      </c>
      <c r="BD7" s="13">
        <f>IF('Données projet'!$A$88&gt;35,BD6+BC7-BL6,IF(A7&lt;'Données projet'!$A$88,$BA$205^A7,IF(A7='Données projet'!$A$88,'Données projet'!$B$88,BD6+BC7-BL6)))</f>
        <v>2.3586558182407358</v>
      </c>
      <c r="BE7" s="14">
        <f>BD7*VLOOKUP('Données projet'!$B$11,Paramètres!$A$1:$I$89,3,0)*VLOOKUP('Données projet'!$B$11,Paramètres!$A$1:$I$89,5,0)</f>
        <v>2.1341117843442179</v>
      </c>
      <c r="BF7" s="14">
        <f t="shared" si="37"/>
        <v>0.90042667189585779</v>
      </c>
      <c r="BG7" s="22">
        <f t="shared" si="7"/>
        <v>5.2851544779514645</v>
      </c>
      <c r="BH7" s="60">
        <f t="shared" si="8"/>
        <v>266.84071003350698</v>
      </c>
      <c r="BI7" s="60">
        <f ca="1">AVERAGE(OFFSET($BH$3,0,0,'Données projet'!$E$11+1,1))-AVERAGE(OFFSET($H$3,0,0,'Données projet'!$E$11+1,1))</f>
        <v>529.25712986118265</v>
      </c>
      <c r="BJ7" s="60">
        <f t="shared" si="38"/>
        <v>278.21741231699929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>
        <f>EXP(-LN(2)/35)*BP6+(1-EXP(-LN(2)/35))/(LN(2)/35)*BL7*BM7*VLOOKUP('Données projet'!$B$11,Paramètres!$A$1:$I$89,3,0)*0.475*44/12</f>
        <v>0</v>
      </c>
      <c r="BQ7" s="23">
        <f>EXP(-LN(2)/25)*BQ6+(1-EXP(-LN(2)/25))/(LN(2)/25)*Calculateur!BL7*Calculateur!BN7*VLOOKUP('Données projet'!$B$11,Paramètres!$A$1:$I$89,3,0)*0.475*44/12</f>
        <v>0</v>
      </c>
      <c r="BR7" s="23">
        <f>EXP(-LN(2)/2)*BR6+(1-EXP(-LN(2)/2))/(LN(2)/2)*BL7*BO7*VLOOKUP('Données projet'!$B$11,Paramètres!$A$1:$I$89,3,0)*0.475*44/12</f>
        <v>0</v>
      </c>
      <c r="BS7" s="24">
        <f t="shared" si="9"/>
        <v>0</v>
      </c>
      <c r="BT7" s="77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3.65</v>
      </c>
      <c r="BY7" s="13">
        <f>IF('Données projet'!$A$114&gt;35,BY6+BX7-CG6,IF(A7&lt;'Données projet'!$A$114,$BV$205^A7,IF(A7='Données projet'!$A$114,'Données projet'!$B$114,BY6+BX7-CG6)))</f>
        <v>2.3586558182407358</v>
      </c>
      <c r="BZ7" s="14">
        <f>BY7*VLOOKUP('Données projet'!$B$12,Paramètres!$A$1:$I$89,3,0)*VLOOKUP('Données projet'!$B$12,Paramètres!$A$1:$I$89,5,0)</f>
        <v>2.3916769996961063</v>
      </c>
      <c r="CA7" s="14">
        <f t="shared" si="39"/>
        <v>0.9958034297612971</v>
      </c>
      <c r="CB7" s="22">
        <f t="shared" si="10"/>
        <v>5.8998617479716442</v>
      </c>
      <c r="CC7" s="60">
        <f t="shared" si="11"/>
        <v>267.45541730352721</v>
      </c>
      <c r="CD7" s="60">
        <f ca="1">AVERAGE(OFFSET($CC$3,0,0,'Données projet'!$E$12+1,1))-AVERAGE(OFFSET($H$3,0,0,'Données projet'!$E$12+1,1))</f>
        <v>587.74247372331615</v>
      </c>
      <c r="CE7" s="60">
        <f t="shared" si="40"/>
        <v>306.61893266146666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>
        <f>EXP(-LN(2)/35)*CK6+(1-EXP(-LN(2)/35))/(LN(2)/35)*CG7*CH7*VLOOKUP('Données projet'!$B$12,Paramètres!$A$1:$I$89,3,0)*0.475*44/12</f>
        <v>0</v>
      </c>
      <c r="CL7" s="23">
        <f>EXP(-LN(2)/25)*CL6+(1-EXP(-LN(2)/25))/(LN(2)/25)*Calculateur!CG7*Calculateur!CI7*VLOOKUP('Données projet'!$B$12,Paramètres!$A$1:$I$89,3,0)*0.475*44/12</f>
        <v>0</v>
      </c>
      <c r="CM7" s="23">
        <f>EXP(-LN(2)/2)*CM6+(1-EXP(-LN(2)/2))/(LN(2)/2)*CG7*CJ7*VLOOKUP('Données projet'!$B$12,Paramètres!$A$1:$I$89,3,0)*0.475*44/12</f>
        <v>0</v>
      </c>
      <c r="CN7" s="24">
        <f t="shared" si="12"/>
        <v>0</v>
      </c>
      <c r="CO7" s="77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3.65</v>
      </c>
      <c r="CT7" s="13">
        <f>IF('Données projet'!$A$140&gt;35,CT6+CS7-DB6,IF(A7&lt;'Données projet'!$A$140,$CQ$205^A7,IF(A7='Données projet'!$A$140,'Données projet'!$B$140,CT6+CS7-DB6)))</f>
        <v>2.3586558182407358</v>
      </c>
      <c r="CU7" s="18">
        <f>CT7*VLOOKUP('Données projet'!$B$13,Paramètres!$A$1:$I$89,3,0)*VLOOKUP('Données projet'!$B$13,Paramètres!$A$1:$I$89,5,0)</f>
        <v>2.5388571227543277</v>
      </c>
      <c r="CV7" s="14">
        <f t="shared" si="41"/>
        <v>1.0497609958185417</v>
      </c>
      <c r="CW7" s="22">
        <f t="shared" si="13"/>
        <v>6.2501765565144138</v>
      </c>
      <c r="CX7" s="60">
        <f t="shared" si="14"/>
        <v>267.80573211206996</v>
      </c>
      <c r="CY7" s="60">
        <f ca="1">AVERAGE(OFFSET($CX$3,0,0,'Données projet'!$E$13+1,1))-AVERAGE(OFFSET($H$3,0,0,'Données projet'!$E$13+1,1))</f>
        <v>621.10465023992288</v>
      </c>
      <c r="CZ7" s="60">
        <f t="shared" si="42"/>
        <v>322.81767004794284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>
        <f>EXP(-LN(2)/35)*DF6+(1-EXP(-LN(2)/35))/(LN(2)/35)*DB7*DC7*VLOOKUP('Données projet'!$B$13,Paramètres!$A$1:$I$89,3,0)*0.475*44/12</f>
        <v>0</v>
      </c>
      <c r="DG7" s="23">
        <f>EXP(-LN(2)/25)*DG6+(1-EXP(-LN(2)/25))/(LN(2)/25)*Calculateur!DB7*Calculateur!DD7*VLOOKUP('Données projet'!$B$13,Paramètres!$A$1:$I$89,3,0)*0.475*44/12</f>
        <v>0</v>
      </c>
      <c r="DH7" s="23">
        <f>EXP(-LN(2)/2)*DH6+(1-EXP(-LN(2)/2))/(LN(2)/2)*DB7*DE7*VLOOKUP('Données projet'!$B$13,Paramètres!$A$1:$I$89,3,0)*0.475*44/12</f>
        <v>0</v>
      </c>
      <c r="DI7" s="24">
        <f t="shared" si="15"/>
        <v>0</v>
      </c>
      <c r="DJ7" s="77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3.65</v>
      </c>
      <c r="DO7" s="13">
        <f>IF('Données projet'!$A$166&gt;35,DO6+DN7-DW6,IF(A7&lt;'Données projet'!$A$166,$DL$205^A7,IF(A7='Données projet'!$A$166,'Données projet'!$B$166,DO6+DN7-DW6)))</f>
        <v>2.3586558182407358</v>
      </c>
      <c r="DP7" s="18">
        <f>DO7*VLOOKUP('Données projet'!$B$14,Paramètres!$A$1:$I$89,3,0)*VLOOKUP('Données projet'!$B$14,Paramètres!$A$1:$I$89,5,0)</f>
        <v>2.2812919074024398</v>
      </c>
      <c r="DQ7" s="14">
        <f t="shared" si="43"/>
        <v>0.95508202741684722</v>
      </c>
      <c r="DR7" s="22">
        <f t="shared" si="16"/>
        <v>5.6366846031435918</v>
      </c>
      <c r="DS7" s="60">
        <f t="shared" si="17"/>
        <v>267.19224015869912</v>
      </c>
      <c r="DT7" s="60">
        <f ca="1">AVERAGE(OFFSET($DS$3,0,0,'Données projet'!$E$14+1,1))-AVERAGE(OFFSET($H$3,0,0,'Données projet'!$E$14+1,1))</f>
        <v>562.69380557620775</v>
      </c>
      <c r="DU7" s="60">
        <f t="shared" si="44"/>
        <v>294.45557293177131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>
        <f>EXP(-LN(2)/35)*EA6+(1-EXP(-LN(2)/35))/(LN(2)/35)*DW7*DX7*VLOOKUP('Données projet'!$B$14,Paramètres!$A$1:$I$89,3,0)*0.475*44/12</f>
        <v>0</v>
      </c>
      <c r="EB7" s="23">
        <f>EXP(-LN(2)/25)*EB6+(1-EXP(-LN(2)/25))/(LN(2)/25)*Calculateur!DW7*Calculateur!DY7*VLOOKUP('Données projet'!$B$14,Paramètres!$A$1:$I$89,3,0)*0.475*44/12</f>
        <v>0</v>
      </c>
      <c r="EC7" s="23">
        <f>EXP(-LN(2)/2)*EC6+(1-EXP(-LN(2)/2))/(LN(2)/2)*DW7*DZ7*VLOOKUP('Données projet'!$B$14,Paramètres!$A$1:$I$89,3,0)*0.475*44/12</f>
        <v>0</v>
      </c>
      <c r="ED7" s="24">
        <f t="shared" si="18"/>
        <v>0</v>
      </c>
      <c r="EE7" s="77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2.6666666666666665</v>
      </c>
      <c r="EJ7" s="13">
        <f>IF('Données projet'!$A$192&gt;35,EJ6+EI7-ER6,IF(A7&lt;'Données projet'!$A$192,$EG$205^A7,IF(A7='Données projet'!$A$192,'Données projet'!$B$192,EJ6+EI7-ER6)))</f>
        <v>2.6743361672197152</v>
      </c>
      <c r="EK7" s="18">
        <f>EJ7*VLOOKUP('Données projet'!$B$15,Paramètres!$A$1:$I$89,3,0)*VLOOKUP('Données projet'!$B$15,Paramètres!$A$1:$I$89,5,0)</f>
        <v>2.0859822104313781</v>
      </c>
      <c r="EL7" s="14">
        <f t="shared" si="45"/>
        <v>0.88245976121767966</v>
      </c>
      <c r="EM7" s="22">
        <f t="shared" si="19"/>
        <v>5.1700364339554419</v>
      </c>
      <c r="EN7" s="60">
        <f t="shared" si="20"/>
        <v>266.72559198951097</v>
      </c>
      <c r="EO7" s="60">
        <f ca="1">AVERAGE(OFFSET($EN$3,0,0,'Données projet'!$E$15+1,1))-AVERAGE(OFFSET($H$3,0,0,'Données projet'!$E$15+1,1))</f>
        <v>292.57482726862594</v>
      </c>
      <c r="EP7" s="60">
        <f t="shared" si="46"/>
        <v>283.48738729114024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>
        <f>EXP(-LN(2)/35)*EV6+(1-EXP(-LN(2)/35))/(LN(2)/35)*ER7*ES7*VLOOKUP('Données projet'!$B$15,Paramètres!$A$1:$I$89,3,0)*0.475*44/12</f>
        <v>0</v>
      </c>
      <c r="EW7" s="23">
        <f>EXP(-LN(2)/25)*EW6+(1-EXP(-LN(2)/25))/(LN(2)/25)*Calculateur!ER7*Calculateur!ET7*VLOOKUP('Données projet'!$B$15,Paramètres!$A$1:$I$89,3,0)*0.475*44/12</f>
        <v>0</v>
      </c>
      <c r="EX7" s="23">
        <f>EXP(-LN(2)/2)*EX6+(1-EXP(-LN(2)/2))/(LN(2)/2)*ER7*EU7*VLOOKUP('Données projet'!$B$15,Paramètres!$A$1:$I$89,3,0)*0.475*44/12</f>
        <v>0</v>
      </c>
      <c r="EY7" s="24">
        <f t="shared" si="21"/>
        <v>0</v>
      </c>
      <c r="EZ7" s="77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0" t="e">
        <f t="shared" si="23"/>
        <v>#N/A</v>
      </c>
      <c r="FJ7" s="60" t="e">
        <f ca="1">AVERAGE(OFFSET($FI$3,0,0,'Données projet'!$E$16+1,1))-AVERAGE(OFFSET($H$3,0,0,'Données projet'!$E$16+1,1))</f>
        <v>#N/A</v>
      </c>
      <c r="FK7" s="60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77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0" t="e">
        <f t="shared" si="26"/>
        <v>#N/A</v>
      </c>
      <c r="GE7" s="60" t="e">
        <f ca="1">AVERAGE(OFFSET($GD$3,0,0,'Données projet'!$E$17+1,1))-AVERAGE(OFFSET($H$3,0,0,'Données projet'!$E$17+1,1))</f>
        <v>#N/A</v>
      </c>
      <c r="GF7" s="60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77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0" t="e">
        <f t="shared" si="29"/>
        <v>#N/A</v>
      </c>
      <c r="GZ7" s="60" t="e">
        <f ca="1">AVERAGE(OFFSET($GY$3,0,0,'Données projet'!$E$18+1,1))-AVERAGE(OFFSET($H$3,0,0,'Données projet'!$E$18+1,1))</f>
        <v>#N/A</v>
      </c>
      <c r="HA7" s="60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25">
      <c r="A8" s="11">
        <f t="shared" si="31"/>
        <v>5</v>
      </c>
      <c r="B8" s="74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2">
        <f t="shared" si="32"/>
        <v>0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0</v>
      </c>
      <c r="H8" s="67">
        <f t="shared" si="1"/>
        <v>256.66666666666669</v>
      </c>
      <c r="I8" s="7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3.1623931623931623</v>
      </c>
      <c r="N8" s="14">
        <f>IF('Données projet'!$A$36&gt;35,N7+M8-V7,IF(A8&lt;'Données projet'!$A$36,$K$205^A8,IF(A8='Données projet'!$A$36,'Données projet'!$B$36,N7+M8-V7)))</f>
        <v>3.6199483483136521</v>
      </c>
      <c r="O8" s="14">
        <f>N8*VLOOKUP('Données projet'!$B$9,Paramètres!$A$1:$I$89,3,0)*VLOOKUP('Données projet'!$B$9,Paramètres!$A$1:$I$89,5,0)</f>
        <v>3.4447428482552716</v>
      </c>
      <c r="P8" s="14">
        <f t="shared" si="33"/>
        <v>1.3746236757212458</v>
      </c>
      <c r="Q8" s="22">
        <f t="shared" si="2"/>
        <v>8.3937300292591015</v>
      </c>
      <c r="R8" s="60">
        <f t="shared" si="0"/>
        <v>271.17150780703685</v>
      </c>
      <c r="S8" s="60">
        <f ca="1">AVERAGE(OFFSET($R$3,0,0,'Données projet'!$E$9+1,1))-AVERAGE(OFFSET($H$3,0,0,'Données projet'!$E$9+1,1))</f>
        <v>403.49781966317852</v>
      </c>
      <c r="T8" s="60">
        <f t="shared" si="34"/>
        <v>326.06674572505409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0.6</v>
      </c>
      <c r="AI8" s="14">
        <f>IF('Données projet'!$A$62&gt;35,AI7+AH8-AQ7,IF(A8&lt;'Données projet'!$A$62,$AF$205^A8,IF(A8='Données projet'!$A$62,'Données projet'!$B$62,AI7+AH8-AQ7)))</f>
        <v>2.0800838230519041</v>
      </c>
      <c r="AJ8" s="14">
        <f>AI8*VLOOKUP('Données projet'!$B$10,Paramètres!$A$1:$I$89,3,0)*VLOOKUP('Données projet'!$B$10,Paramètres!$A$1:$I$89,5,0)</f>
        <v>1.8171612278181437</v>
      </c>
      <c r="AK8" s="14">
        <f t="shared" si="35"/>
        <v>0.78118182019192373</v>
      </c>
      <c r="AL8" s="22">
        <f t="shared" si="4"/>
        <v>4.5254474752842002</v>
      </c>
      <c r="AM8" s="60">
        <f t="shared" si="5"/>
        <v>267.30322525306195</v>
      </c>
      <c r="AN8" s="60">
        <f ca="1">AVERAGE(OFFSET($AM$3,0,0,'Données projet'!$E$10+1,1))-AVERAGE(OFFSET($H$3,0,0,'Données projet'!$E$10+1,1))</f>
        <v>274.66236526869056</v>
      </c>
      <c r="AO8" s="60">
        <f t="shared" si="36"/>
        <v>256.90876395053073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>
        <f>EXP(-LN(2)/35)*AU7+(1-EXP(-LN(2)/35))/(LN(2)/35)*AQ8*AR8*VLOOKUP('Données projet'!$B$10,Paramètres!$A$1:$I$89,3,0)*0.475*44/12</f>
        <v>0</v>
      </c>
      <c r="AV8" s="23">
        <f>EXP(-LN(2)/25)*AV7+(1-EXP(-LN(2)/25))/(LN(2)/25)*Calculateur!AQ8*Calculateur!AS8*VLOOKUP('Données projet'!$B$10,Paramètres!$A$1:$I$89,3,0)*0.475*44/12</f>
        <v>0</v>
      </c>
      <c r="AW8" s="23">
        <f>EXP(-LN(2)/2)*AW7+(1-EXP(-LN(2)/2))/(LN(2)/2)*AQ8*AT8*VLOOKUP('Données projet'!$B$10,Paramètres!$A$1:$I$89,3,0)*0.475*44/12</f>
        <v>0</v>
      </c>
      <c r="AX8" s="23">
        <f t="shared" si="6"/>
        <v>0</v>
      </c>
      <c r="AY8" s="76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3.65</v>
      </c>
      <c r="BD8" s="13">
        <f>IF('Données projet'!$A$88&gt;35,BD7+BC8-BL7,IF(A8&lt;'Données projet'!$A$88,$BA$205^A8,IF(A8='Données projet'!$A$88,'Données projet'!$B$88,BD7+BC8-BL7)))</f>
        <v>2.9230127856917649</v>
      </c>
      <c r="BE8" s="14">
        <f>BD8*VLOOKUP('Données projet'!$B$11,Paramètres!$A$1:$I$89,3,0)*VLOOKUP('Données projet'!$B$11,Paramètres!$A$1:$I$89,5,0)</f>
        <v>2.6447419684939089</v>
      </c>
      <c r="BF8" s="14">
        <f t="shared" si="37"/>
        <v>1.0883534414958294</v>
      </c>
      <c r="BG8" s="22">
        <f t="shared" si="7"/>
        <v>6.5018078390654601</v>
      </c>
      <c r="BH8" s="60">
        <f t="shared" si="8"/>
        <v>269.27958561684324</v>
      </c>
      <c r="BI8" s="60">
        <f ca="1">AVERAGE(OFFSET($BH$3,0,0,'Données projet'!$E$11+1,1))-AVERAGE(OFFSET($H$3,0,0,'Données projet'!$E$11+1,1))</f>
        <v>529.25712986118265</v>
      </c>
      <c r="BJ8" s="60">
        <f t="shared" si="38"/>
        <v>278.21741231699929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>
        <f>EXP(-LN(2)/35)*BP7+(1-EXP(-LN(2)/35))/(LN(2)/35)*BL8*BM8*VLOOKUP('Données projet'!$B$11,Paramètres!$A$1:$I$89,3,0)*0.475*44/12</f>
        <v>0</v>
      </c>
      <c r="BQ8" s="23">
        <f>EXP(-LN(2)/25)*BQ7+(1-EXP(-LN(2)/25))/(LN(2)/25)*Calculateur!BL8*Calculateur!BN8*VLOOKUP('Données projet'!$B$11,Paramètres!$A$1:$I$89,3,0)*0.475*44/12</f>
        <v>0</v>
      </c>
      <c r="BR8" s="23">
        <f>EXP(-LN(2)/2)*BR7+(1-EXP(-LN(2)/2))/(LN(2)/2)*BL8*BO8*VLOOKUP('Données projet'!$B$11,Paramètres!$A$1:$I$89,3,0)*0.475*44/12</f>
        <v>0</v>
      </c>
      <c r="BS8" s="24">
        <f t="shared" si="9"/>
        <v>0</v>
      </c>
      <c r="BT8" s="77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3.65</v>
      </c>
      <c r="BY8" s="13">
        <f>IF('Données projet'!$A$114&gt;35,BY7+BX8-CG7,IF(A8&lt;'Données projet'!$A$114,$BV$205^A8,IF(A8='Données projet'!$A$114,'Données projet'!$B$114,BY7+BX8-CG7)))</f>
        <v>2.9230127856917649</v>
      </c>
      <c r="BZ8" s="14">
        <f>BY8*VLOOKUP('Données projet'!$B$12,Paramètres!$A$1:$I$89,3,0)*VLOOKUP('Données projet'!$B$12,Paramètres!$A$1:$I$89,5,0)</f>
        <v>2.9639349646914495</v>
      </c>
      <c r="CA8" s="14">
        <f t="shared" si="39"/>
        <v>1.2036361467970902</v>
      </c>
      <c r="CB8" s="22">
        <f t="shared" si="10"/>
        <v>7.2585196858425398</v>
      </c>
      <c r="CC8" s="60">
        <f t="shared" si="11"/>
        <v>270.03629746362031</v>
      </c>
      <c r="CD8" s="60">
        <f ca="1">AVERAGE(OFFSET($CC$3,0,0,'Données projet'!$E$12+1,1))-AVERAGE(OFFSET($H$3,0,0,'Données projet'!$E$12+1,1))</f>
        <v>587.74247372331615</v>
      </c>
      <c r="CE8" s="60">
        <f t="shared" si="40"/>
        <v>306.61893266146666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>
        <f>EXP(-LN(2)/35)*CK7+(1-EXP(-LN(2)/35))/(LN(2)/35)*CG8*CH8*VLOOKUP('Données projet'!$B$12,Paramètres!$A$1:$I$89,3,0)*0.475*44/12</f>
        <v>0</v>
      </c>
      <c r="CL8" s="23">
        <f>EXP(-LN(2)/25)*CL7+(1-EXP(-LN(2)/25))/(LN(2)/25)*Calculateur!CG8*Calculateur!CI8*VLOOKUP('Données projet'!$B$12,Paramètres!$A$1:$I$89,3,0)*0.475*44/12</f>
        <v>0</v>
      </c>
      <c r="CM8" s="23">
        <f>EXP(-LN(2)/2)*CM7+(1-EXP(-LN(2)/2))/(LN(2)/2)*CG8*CJ8*VLOOKUP('Données projet'!$B$12,Paramètres!$A$1:$I$89,3,0)*0.475*44/12</f>
        <v>0</v>
      </c>
      <c r="CN8" s="24">
        <f t="shared" si="12"/>
        <v>0</v>
      </c>
      <c r="CO8" s="77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3.65</v>
      </c>
      <c r="CT8" s="13">
        <f>IF('Données projet'!$A$140&gt;35,CT7+CS8-DB7,IF(A8&lt;'Données projet'!$A$140,$CQ$205^A8,IF(A8='Données projet'!$A$140,'Données projet'!$B$140,CT7+CS8-DB7)))</f>
        <v>2.9230127856917649</v>
      </c>
      <c r="CU8" s="18">
        <f>CT8*VLOOKUP('Données projet'!$B$13,Paramètres!$A$1:$I$89,3,0)*VLOOKUP('Données projet'!$B$13,Paramètres!$A$1:$I$89,5,0)</f>
        <v>3.1463309625186153</v>
      </c>
      <c r="CV8" s="14">
        <f t="shared" si="41"/>
        <v>1.2688551196974542</v>
      </c>
      <c r="CW8" s="22">
        <f t="shared" si="13"/>
        <v>7.6897824265263219</v>
      </c>
      <c r="CX8" s="60">
        <f t="shared" si="14"/>
        <v>270.46756020430411</v>
      </c>
      <c r="CY8" s="60">
        <f ca="1">AVERAGE(OFFSET($CX$3,0,0,'Données projet'!$E$13+1,1))-AVERAGE(OFFSET($H$3,0,0,'Données projet'!$E$13+1,1))</f>
        <v>621.10465023992288</v>
      </c>
      <c r="CZ8" s="60">
        <f t="shared" si="42"/>
        <v>322.81767004794284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>
        <f>EXP(-LN(2)/35)*DF7+(1-EXP(-LN(2)/35))/(LN(2)/35)*DB8*DC8*VLOOKUP('Données projet'!$B$13,Paramètres!$A$1:$I$89,3,0)*0.475*44/12</f>
        <v>0</v>
      </c>
      <c r="DG8" s="23">
        <f>EXP(-LN(2)/25)*DG7+(1-EXP(-LN(2)/25))/(LN(2)/25)*Calculateur!DB8*Calculateur!DD8*VLOOKUP('Données projet'!$B$13,Paramètres!$A$1:$I$89,3,0)*0.475*44/12</f>
        <v>0</v>
      </c>
      <c r="DH8" s="23">
        <f>EXP(-LN(2)/2)*DH7+(1-EXP(-LN(2)/2))/(LN(2)/2)*DB8*DE8*VLOOKUP('Données projet'!$B$13,Paramètres!$A$1:$I$89,3,0)*0.475*44/12</f>
        <v>0</v>
      </c>
      <c r="DI8" s="24">
        <f t="shared" si="15"/>
        <v>0</v>
      </c>
      <c r="DJ8" s="77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3.65</v>
      </c>
      <c r="DO8" s="13">
        <f>IF('Données projet'!$A$166&gt;35,DO7+DN8-DW7,IF(A8&lt;'Données projet'!$A$166,$DL$205^A8,IF(A8='Données projet'!$A$166,'Données projet'!$B$166,DO7+DN8-DW7)))</f>
        <v>2.9230127856917649</v>
      </c>
      <c r="DP8" s="18">
        <f>DO8*VLOOKUP('Données projet'!$B$14,Paramètres!$A$1:$I$89,3,0)*VLOOKUP('Données projet'!$B$14,Paramètres!$A$1:$I$89,5,0)</f>
        <v>2.8271379663210752</v>
      </c>
      <c r="DQ8" s="14">
        <f t="shared" si="43"/>
        <v>1.1544158385061292</v>
      </c>
      <c r="DR8" s="22">
        <f t="shared" si="16"/>
        <v>6.9345395434073795</v>
      </c>
      <c r="DS8" s="60">
        <f t="shared" si="17"/>
        <v>269.71231732118514</v>
      </c>
      <c r="DT8" s="60">
        <f ca="1">AVERAGE(OFFSET($DS$3,0,0,'Données projet'!$E$14+1,1))-AVERAGE(OFFSET($H$3,0,0,'Données projet'!$E$14+1,1))</f>
        <v>562.69380557620775</v>
      </c>
      <c r="DU8" s="60">
        <f t="shared" si="44"/>
        <v>294.45557293177131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>
        <f>EXP(-LN(2)/35)*EA7+(1-EXP(-LN(2)/35))/(LN(2)/35)*DW8*DX8*VLOOKUP('Données projet'!$B$14,Paramètres!$A$1:$I$89,3,0)*0.475*44/12</f>
        <v>0</v>
      </c>
      <c r="EB8" s="23">
        <f>EXP(-LN(2)/25)*EB7+(1-EXP(-LN(2)/25))/(LN(2)/25)*Calculateur!DW8*Calculateur!DY8*VLOOKUP('Données projet'!$B$14,Paramètres!$A$1:$I$89,3,0)*0.475*44/12</f>
        <v>0</v>
      </c>
      <c r="EC8" s="23">
        <f>EXP(-LN(2)/2)*EC7+(1-EXP(-LN(2)/2))/(LN(2)/2)*DW8*DZ8*VLOOKUP('Données projet'!$B$14,Paramètres!$A$1:$I$89,3,0)*0.475*44/12</f>
        <v>0</v>
      </c>
      <c r="ED8" s="24">
        <f t="shared" si="18"/>
        <v>0</v>
      </c>
      <c r="EE8" s="77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2.6666666666666665</v>
      </c>
      <c r="EJ8" s="13">
        <f>IF('Données projet'!$A$192&gt;35,EJ7+EI8-ER7,IF(A8&lt;'Données projet'!$A$192,$EG$205^A8,IF(A8='Données projet'!$A$192,'Données projet'!$B$192,EJ7+EI8-ER7)))</f>
        <v>3.4199518933533928</v>
      </c>
      <c r="EK8" s="18">
        <f>EJ8*VLOOKUP('Données projet'!$B$15,Paramètres!$A$1:$I$89,3,0)*VLOOKUP('Données projet'!$B$15,Paramètres!$A$1:$I$89,5,0)</f>
        <v>2.6675624768156463</v>
      </c>
      <c r="EL8" s="14">
        <f t="shared" si="45"/>
        <v>1.0966471776471767</v>
      </c>
      <c r="EM8" s="22">
        <f t="shared" si="19"/>
        <v>6.5559984815227494</v>
      </c>
      <c r="EN8" s="60">
        <f t="shared" si="20"/>
        <v>269.33377625930052</v>
      </c>
      <c r="EO8" s="60">
        <f ca="1">AVERAGE(OFFSET($EN$3,0,0,'Données projet'!$E$15+1,1))-AVERAGE(OFFSET($H$3,0,0,'Données projet'!$E$15+1,1))</f>
        <v>292.57482726862594</v>
      </c>
      <c r="EP8" s="60">
        <f t="shared" si="46"/>
        <v>283.48738729114024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>
        <f>EXP(-LN(2)/35)*EV7+(1-EXP(-LN(2)/35))/(LN(2)/35)*ER8*ES8*VLOOKUP('Données projet'!$B$15,Paramètres!$A$1:$I$89,3,0)*0.475*44/12</f>
        <v>0</v>
      </c>
      <c r="EW8" s="23">
        <f>EXP(-LN(2)/25)*EW7+(1-EXP(-LN(2)/25))/(LN(2)/25)*Calculateur!ER8*Calculateur!ET8*VLOOKUP('Données projet'!$B$15,Paramètres!$A$1:$I$89,3,0)*0.475*44/12</f>
        <v>0</v>
      </c>
      <c r="EX8" s="23">
        <f>EXP(-LN(2)/2)*EX7+(1-EXP(-LN(2)/2))/(LN(2)/2)*ER8*EU8*VLOOKUP('Données projet'!$B$15,Paramètres!$A$1:$I$89,3,0)*0.475*44/12</f>
        <v>0</v>
      </c>
      <c r="EY8" s="24">
        <f t="shared" si="21"/>
        <v>0</v>
      </c>
      <c r="EZ8" s="77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0" t="e">
        <f t="shared" si="23"/>
        <v>#N/A</v>
      </c>
      <c r="FJ8" s="60" t="e">
        <f ca="1">AVERAGE(OFFSET($FI$3,0,0,'Données projet'!$E$16+1,1))-AVERAGE(OFFSET($H$3,0,0,'Données projet'!$E$16+1,1))</f>
        <v>#N/A</v>
      </c>
      <c r="FK8" s="60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77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0" t="e">
        <f t="shared" si="26"/>
        <v>#N/A</v>
      </c>
      <c r="GE8" s="60" t="e">
        <f ca="1">AVERAGE(OFFSET($GD$3,0,0,'Données projet'!$E$17+1,1))-AVERAGE(OFFSET($H$3,0,0,'Données projet'!$E$17+1,1))</f>
        <v>#N/A</v>
      </c>
      <c r="GF8" s="60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77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0" t="e">
        <f t="shared" si="29"/>
        <v>#N/A</v>
      </c>
      <c r="GZ8" s="60" t="e">
        <f ca="1">AVERAGE(OFFSET($GY$3,0,0,'Données projet'!$E$18+1,1))-AVERAGE(OFFSET($H$3,0,0,'Données projet'!$E$18+1,1))</f>
        <v>#N/A</v>
      </c>
      <c r="HA8" s="60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25">
      <c r="A9" s="11">
        <f t="shared" si="31"/>
        <v>6</v>
      </c>
      <c r="B9" s="74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2">
        <f t="shared" si="32"/>
        <v>0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0</v>
      </c>
      <c r="H9" s="67">
        <f t="shared" si="1"/>
        <v>256.66666666666669</v>
      </c>
      <c r="I9" s="7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3.1623931623931623</v>
      </c>
      <c r="N9" s="14">
        <f>IF('Données projet'!$A$36&gt;35,N8+M9-V8,IF(A9&lt;'Données projet'!$A$36,$K$205^A9,IF(A9='Données projet'!$A$36,'Données projet'!$B$36,N8+M9-V8)))</f>
        <v>4.6821233241387468</v>
      </c>
      <c r="O9" s="14">
        <f>N9*VLOOKUP('Données projet'!$B$9,Paramètres!$A$1:$I$89,3,0)*VLOOKUP('Données projet'!$B$9,Paramètres!$A$1:$I$89,5,0)</f>
        <v>4.4555085552504314</v>
      </c>
      <c r="P9" s="14">
        <f t="shared" si="33"/>
        <v>1.7255108845411122</v>
      </c>
      <c r="Q9" s="22">
        <f t="shared" si="2"/>
        <v>10.765275524303604</v>
      </c>
      <c r="R9" s="60">
        <f t="shared" si="0"/>
        <v>274.7652755243036</v>
      </c>
      <c r="S9" s="60">
        <f ca="1">AVERAGE(OFFSET($R$3,0,0,'Données projet'!$E$9+1,1))-AVERAGE(OFFSET($H$3,0,0,'Données projet'!$E$9+1,1))</f>
        <v>403.49781966317852</v>
      </c>
      <c r="T9" s="60">
        <f t="shared" si="34"/>
        <v>326.06674572505409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0.6</v>
      </c>
      <c r="AI9" s="14">
        <f>IF('Données projet'!$A$62&gt;35,AI8+AH9-AQ8,IF(A9&lt;'Données projet'!$A$62,$AF$205^A9,IF(A9='Données projet'!$A$62,'Données projet'!$B$62,AI8+AH9-AQ8)))</f>
        <v>2.4082246852806919</v>
      </c>
      <c r="AJ9" s="14">
        <f>AI9*VLOOKUP('Données projet'!$B$10,Paramètres!$A$1:$I$89,3,0)*VLOOKUP('Données projet'!$B$10,Paramètres!$A$1:$I$89,5,0)</f>
        <v>2.1038250850612128</v>
      </c>
      <c r="AK9" s="14">
        <f t="shared" si="35"/>
        <v>0.88912612901456256</v>
      </c>
      <c r="AL9" s="22">
        <f t="shared" si="4"/>
        <v>5.2127233645153082</v>
      </c>
      <c r="AM9" s="60">
        <f t="shared" si="5"/>
        <v>269.21272336451528</v>
      </c>
      <c r="AN9" s="60">
        <f ca="1">AVERAGE(OFFSET($AM$3,0,0,'Données projet'!$E$10+1,1))-AVERAGE(OFFSET($H$3,0,0,'Données projet'!$E$10+1,1))</f>
        <v>274.66236526869056</v>
      </c>
      <c r="AO9" s="60">
        <f t="shared" si="36"/>
        <v>256.90876395053073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>
        <f>EXP(-LN(2)/35)*AU8+(1-EXP(-LN(2)/35))/(LN(2)/35)*AQ9*AR9*VLOOKUP('Données projet'!$B$10,Paramètres!$A$1:$I$89,3,0)*0.475*44/12</f>
        <v>0</v>
      </c>
      <c r="AV9" s="23">
        <f>EXP(-LN(2)/25)*AV8+(1-EXP(-LN(2)/25))/(LN(2)/25)*Calculateur!AQ9*Calculateur!AS9*VLOOKUP('Données projet'!$B$10,Paramètres!$A$1:$I$89,3,0)*0.475*44/12</f>
        <v>0</v>
      </c>
      <c r="AW9" s="23">
        <f>EXP(-LN(2)/2)*AW8+(1-EXP(-LN(2)/2))/(LN(2)/2)*AQ9*AT9*VLOOKUP('Données projet'!$B$10,Paramètres!$A$1:$I$89,3,0)*0.475*44/12</f>
        <v>0</v>
      </c>
      <c r="AX9" s="23">
        <f t="shared" si="6"/>
        <v>0</v>
      </c>
      <c r="AY9" s="76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3.65</v>
      </c>
      <c r="BD9" s="13">
        <f>IF('Données projet'!$A$88&gt;35,BD8+BC9-BL8,IF(A9&lt;'Données projet'!$A$88,$BA$205^A9,IF(A9='Données projet'!$A$88,'Données projet'!$B$88,BD8+BC9-BL8)))</f>
        <v>3.6224037772879885</v>
      </c>
      <c r="BE9" s="14">
        <f>BD9*VLOOKUP('Données projet'!$B$11,Paramètres!$A$1:$I$89,3,0)*VLOOKUP('Données projet'!$B$11,Paramètres!$A$1:$I$89,5,0)</f>
        <v>3.2775509376901719</v>
      </c>
      <c r="BF9" s="14">
        <f t="shared" si="37"/>
        <v>1.315502139804245</v>
      </c>
      <c r="BG9" s="22">
        <f t="shared" si="7"/>
        <v>7.9995674433027766</v>
      </c>
      <c r="BH9" s="60">
        <f t="shared" si="8"/>
        <v>271.99956744330279</v>
      </c>
      <c r="BI9" s="60">
        <f ca="1">AVERAGE(OFFSET($BH$3,0,0,'Données projet'!$E$11+1,1))-AVERAGE(OFFSET($H$3,0,0,'Données projet'!$E$11+1,1))</f>
        <v>529.25712986118265</v>
      </c>
      <c r="BJ9" s="60">
        <f t="shared" si="38"/>
        <v>278.21741231699929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>
        <f>EXP(-LN(2)/35)*BP8+(1-EXP(-LN(2)/35))/(LN(2)/35)*BL9*BM9*VLOOKUP('Données projet'!$B$11,Paramètres!$A$1:$I$89,3,0)*0.475*44/12</f>
        <v>0</v>
      </c>
      <c r="BQ9" s="23">
        <f>EXP(-LN(2)/25)*BQ8+(1-EXP(-LN(2)/25))/(LN(2)/25)*Calculateur!BL9*Calculateur!BN9*VLOOKUP('Données projet'!$B$11,Paramètres!$A$1:$I$89,3,0)*0.475*44/12</f>
        <v>0</v>
      </c>
      <c r="BR9" s="23">
        <f>EXP(-LN(2)/2)*BR8+(1-EXP(-LN(2)/2))/(LN(2)/2)*BL9*BO9*VLOOKUP('Données projet'!$B$11,Paramètres!$A$1:$I$89,3,0)*0.475*44/12</f>
        <v>0</v>
      </c>
      <c r="BS9" s="24">
        <f t="shared" si="9"/>
        <v>0</v>
      </c>
      <c r="BT9" s="77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3.65</v>
      </c>
      <c r="BY9" s="13">
        <f>IF('Données projet'!$A$114&gt;35,BY8+BX9-CG8,IF(A9&lt;'Données projet'!$A$114,$BV$205^A9,IF(A9='Données projet'!$A$114,'Données projet'!$B$114,BY8+BX9-CG8)))</f>
        <v>3.6224037772879885</v>
      </c>
      <c r="BZ9" s="14">
        <f>BY9*VLOOKUP('Données projet'!$B$12,Paramètres!$A$1:$I$89,3,0)*VLOOKUP('Données projet'!$B$12,Paramètres!$A$1:$I$89,5,0)</f>
        <v>3.6731174301700205</v>
      </c>
      <c r="CA9" s="14">
        <f t="shared" si="39"/>
        <v>1.4548453345092642</v>
      </c>
      <c r="CB9" s="22">
        <f t="shared" si="10"/>
        <v>8.9312018151497536</v>
      </c>
      <c r="CC9" s="60">
        <f t="shared" si="11"/>
        <v>272.93120181514973</v>
      </c>
      <c r="CD9" s="60">
        <f ca="1">AVERAGE(OFFSET($CC$3,0,0,'Données projet'!$E$12+1,1))-AVERAGE(OFFSET($H$3,0,0,'Données projet'!$E$12+1,1))</f>
        <v>587.74247372331615</v>
      </c>
      <c r="CE9" s="60">
        <f t="shared" si="40"/>
        <v>306.61893266146666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>
        <f>EXP(-LN(2)/35)*CK8+(1-EXP(-LN(2)/35))/(LN(2)/35)*CG9*CH9*VLOOKUP('Données projet'!$B$12,Paramètres!$A$1:$I$89,3,0)*0.475*44/12</f>
        <v>0</v>
      </c>
      <c r="CL9" s="23">
        <f>EXP(-LN(2)/25)*CL8+(1-EXP(-LN(2)/25))/(LN(2)/25)*Calculateur!CG9*Calculateur!CI9*VLOOKUP('Données projet'!$B$12,Paramètres!$A$1:$I$89,3,0)*0.475*44/12</f>
        <v>0</v>
      </c>
      <c r="CM9" s="23">
        <f>EXP(-LN(2)/2)*CM8+(1-EXP(-LN(2)/2))/(LN(2)/2)*CG9*CJ9*VLOOKUP('Données projet'!$B$12,Paramètres!$A$1:$I$89,3,0)*0.475*44/12</f>
        <v>0</v>
      </c>
      <c r="CN9" s="24">
        <f t="shared" si="12"/>
        <v>0</v>
      </c>
      <c r="CO9" s="77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3.65</v>
      </c>
      <c r="CT9" s="13">
        <f>IF('Données projet'!$A$140&gt;35,CT8+CS9-DB8,IF(A9&lt;'Données projet'!$A$140,$CQ$205^A9,IF(A9='Données projet'!$A$140,'Données projet'!$B$140,CT8+CS9-DB8)))</f>
        <v>3.6224037772879885</v>
      </c>
      <c r="CU9" s="18">
        <f>CT9*VLOOKUP('Données projet'!$B$13,Paramètres!$A$1:$I$89,3,0)*VLOOKUP('Données projet'!$B$13,Paramètres!$A$1:$I$89,5,0)</f>
        <v>3.8991554258727907</v>
      </c>
      <c r="CV9" s="14">
        <f t="shared" si="41"/>
        <v>1.5336760664526912</v>
      </c>
      <c r="CW9" s="22">
        <f t="shared" si="13"/>
        <v>9.4621815158002143</v>
      </c>
      <c r="CX9" s="60">
        <f t="shared" si="14"/>
        <v>273.46218151580024</v>
      </c>
      <c r="CY9" s="60">
        <f ca="1">AVERAGE(OFFSET($CX$3,0,0,'Données projet'!$E$13+1,1))-AVERAGE(OFFSET($H$3,0,0,'Données projet'!$E$13+1,1))</f>
        <v>621.10465023992288</v>
      </c>
      <c r="CZ9" s="60">
        <f t="shared" si="42"/>
        <v>322.81767004794284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>
        <f>EXP(-LN(2)/35)*DF8+(1-EXP(-LN(2)/35))/(LN(2)/35)*DB9*DC9*VLOOKUP('Données projet'!$B$13,Paramètres!$A$1:$I$89,3,0)*0.475*44/12</f>
        <v>0</v>
      </c>
      <c r="DG9" s="23">
        <f>EXP(-LN(2)/25)*DG8+(1-EXP(-LN(2)/25))/(LN(2)/25)*Calculateur!DB9*Calculateur!DD9*VLOOKUP('Données projet'!$B$13,Paramètres!$A$1:$I$89,3,0)*0.475*44/12</f>
        <v>0</v>
      </c>
      <c r="DH9" s="23">
        <f>EXP(-LN(2)/2)*DH8+(1-EXP(-LN(2)/2))/(LN(2)/2)*DB9*DE9*VLOOKUP('Données projet'!$B$13,Paramètres!$A$1:$I$89,3,0)*0.475*44/12</f>
        <v>0</v>
      </c>
      <c r="DI9" s="24">
        <f t="shared" si="15"/>
        <v>0</v>
      </c>
      <c r="DJ9" s="77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3.65</v>
      </c>
      <c r="DO9" s="13">
        <f>IF('Données projet'!$A$166&gt;35,DO8+DN9-DW8,IF(A9&lt;'Données projet'!$A$166,$DL$205^A9,IF(A9='Données projet'!$A$166,'Données projet'!$B$166,DO8+DN9-DW8)))</f>
        <v>3.6224037772879885</v>
      </c>
      <c r="DP9" s="18">
        <f>DO9*VLOOKUP('Données projet'!$B$14,Paramètres!$A$1:$I$89,3,0)*VLOOKUP('Données projet'!$B$14,Paramètres!$A$1:$I$89,5,0)</f>
        <v>3.5035889333929422</v>
      </c>
      <c r="DQ9" s="14">
        <f t="shared" si="43"/>
        <v>1.3953523257036018</v>
      </c>
      <c r="DR9" s="22">
        <f t="shared" si="16"/>
        <v>8.5323226929264795</v>
      </c>
      <c r="DS9" s="60">
        <f t="shared" si="17"/>
        <v>272.53232269292647</v>
      </c>
      <c r="DT9" s="60">
        <f ca="1">AVERAGE(OFFSET($DS$3,0,0,'Données projet'!$E$14+1,1))-AVERAGE(OFFSET($H$3,0,0,'Données projet'!$E$14+1,1))</f>
        <v>562.69380557620775</v>
      </c>
      <c r="DU9" s="60">
        <f t="shared" si="44"/>
        <v>294.45557293177131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>
        <f>EXP(-LN(2)/35)*EA8+(1-EXP(-LN(2)/35))/(LN(2)/35)*DW9*DX9*VLOOKUP('Données projet'!$B$14,Paramètres!$A$1:$I$89,3,0)*0.475*44/12</f>
        <v>0</v>
      </c>
      <c r="EB9" s="23">
        <f>EXP(-LN(2)/25)*EB8+(1-EXP(-LN(2)/25))/(LN(2)/25)*Calculateur!DW9*Calculateur!DY9*VLOOKUP('Données projet'!$B$14,Paramètres!$A$1:$I$89,3,0)*0.475*44/12</f>
        <v>0</v>
      </c>
      <c r="EC9" s="23">
        <f>EXP(-LN(2)/2)*EC8+(1-EXP(-LN(2)/2))/(LN(2)/2)*DW9*DZ9*VLOOKUP('Données projet'!$B$14,Paramètres!$A$1:$I$89,3,0)*0.475*44/12</f>
        <v>0</v>
      </c>
      <c r="ED9" s="24">
        <f t="shared" si="18"/>
        <v>0</v>
      </c>
      <c r="EE9" s="77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2.6666666666666665</v>
      </c>
      <c r="EJ9" s="13">
        <f>IF('Données projet'!$A$192&gt;35,EJ8+EI9-ER8,IF(A9&lt;'Données projet'!$A$192,$EG$205^A9,IF(A9='Données projet'!$A$192,'Données projet'!$B$192,EJ8+EI9-ER8)))</f>
        <v>4.3734482957731098</v>
      </c>
      <c r="EK9" s="18">
        <f>EJ9*VLOOKUP('Données projet'!$B$15,Paramètres!$A$1:$I$89,3,0)*VLOOKUP('Données projet'!$B$15,Paramètres!$A$1:$I$89,5,0)</f>
        <v>3.4112896707030256</v>
      </c>
      <c r="EL9" s="14">
        <f t="shared" si="45"/>
        <v>1.3628213830192535</v>
      </c>
      <c r="EM9" s="22">
        <f t="shared" si="19"/>
        <v>8.3149100852329703</v>
      </c>
      <c r="EN9" s="60">
        <f t="shared" si="20"/>
        <v>272.31491008523295</v>
      </c>
      <c r="EO9" s="60">
        <f ca="1">AVERAGE(OFFSET($EN$3,0,0,'Données projet'!$E$15+1,1))-AVERAGE(OFFSET($H$3,0,0,'Données projet'!$E$15+1,1))</f>
        <v>292.57482726862594</v>
      </c>
      <c r="EP9" s="60">
        <f t="shared" si="46"/>
        <v>283.48738729114024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>
        <f>EXP(-LN(2)/35)*EV8+(1-EXP(-LN(2)/35))/(LN(2)/35)*ER9*ES9*VLOOKUP('Données projet'!$B$15,Paramètres!$A$1:$I$89,3,0)*0.475*44/12</f>
        <v>0</v>
      </c>
      <c r="EW9" s="23">
        <f>EXP(-LN(2)/25)*EW8+(1-EXP(-LN(2)/25))/(LN(2)/25)*Calculateur!ER9*Calculateur!ET9*VLOOKUP('Données projet'!$B$15,Paramètres!$A$1:$I$89,3,0)*0.475*44/12</f>
        <v>0</v>
      </c>
      <c r="EX9" s="23">
        <f>EXP(-LN(2)/2)*EX8+(1-EXP(-LN(2)/2))/(LN(2)/2)*ER9*EU9*VLOOKUP('Données projet'!$B$15,Paramètres!$A$1:$I$89,3,0)*0.475*44/12</f>
        <v>0</v>
      </c>
      <c r="EY9" s="24">
        <f t="shared" si="21"/>
        <v>0</v>
      </c>
      <c r="EZ9" s="77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0" t="e">
        <f t="shared" si="23"/>
        <v>#N/A</v>
      </c>
      <c r="FJ9" s="60" t="e">
        <f ca="1">AVERAGE(OFFSET($FI$3,0,0,'Données projet'!$E$16+1,1))-AVERAGE(OFFSET($H$3,0,0,'Données projet'!$E$16+1,1))</f>
        <v>#N/A</v>
      </c>
      <c r="FK9" s="60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77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0" t="e">
        <f t="shared" si="26"/>
        <v>#N/A</v>
      </c>
      <c r="GE9" s="60" t="e">
        <f ca="1">AVERAGE(OFFSET($GD$3,0,0,'Données projet'!$E$17+1,1))-AVERAGE(OFFSET($H$3,0,0,'Données projet'!$E$17+1,1))</f>
        <v>#N/A</v>
      </c>
      <c r="GF9" s="60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77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0" t="e">
        <f t="shared" si="29"/>
        <v>#N/A</v>
      </c>
      <c r="GZ9" s="60" t="e">
        <f ca="1">AVERAGE(OFFSET($GY$3,0,0,'Données projet'!$E$18+1,1))-AVERAGE(OFFSET($H$3,0,0,'Données projet'!$E$18+1,1))</f>
        <v>#N/A</v>
      </c>
      <c r="HA9" s="60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25">
      <c r="A10" s="11">
        <f t="shared" si="31"/>
        <v>7</v>
      </c>
      <c r="B10" s="74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2">
        <f t="shared" si="32"/>
        <v>0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0</v>
      </c>
      <c r="H10" s="67">
        <f t="shared" si="1"/>
        <v>256.66666666666669</v>
      </c>
      <c r="I10" s="7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3.1623931623931623</v>
      </c>
      <c r="N10" s="14">
        <f>IF('Données projet'!$A$36&gt;35,N9+M10-V9,IF(A10&lt;'Données projet'!$A$36,$K$205^A10,IF(A10='Données projet'!$A$36,'Données projet'!$B$36,N9+M10-V9)))</f>
        <v>6.0559645368024464</v>
      </c>
      <c r="O10" s="14">
        <f>N10*VLOOKUP('Données projet'!$B$9,Paramètres!$A$1:$I$89,3,0)*VLOOKUP('Données projet'!$B$9,Paramètres!$A$1:$I$89,5,0)</f>
        <v>5.7628558532212084</v>
      </c>
      <c r="P10" s="14">
        <f t="shared" si="33"/>
        <v>2.1659657586703922</v>
      </c>
      <c r="Q10" s="22">
        <f t="shared" si="2"/>
        <v>13.809364307377871</v>
      </c>
      <c r="R10" s="60">
        <f t="shared" si="0"/>
        <v>279.03158652960008</v>
      </c>
      <c r="S10" s="60">
        <f ca="1">AVERAGE(OFFSET($R$3,0,0,'Données projet'!$E$9+1,1))-AVERAGE(OFFSET($H$3,0,0,'Données projet'!$E$9+1,1))</f>
        <v>403.49781966317852</v>
      </c>
      <c r="T10" s="60">
        <f t="shared" si="34"/>
        <v>326.06674572505409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0.6</v>
      </c>
      <c r="AI10" s="14">
        <f>IF('Données projet'!$A$62&gt;35,AI9+AH10-AQ9,IF(A10&lt;'Données projet'!$A$62,$AF$205^A10,IF(A10='Données projet'!$A$62,'Données projet'!$B$62,AI9+AH10-AQ9)))</f>
        <v>2.788130973628832</v>
      </c>
      <c r="AJ10" s="14">
        <f>AI10*VLOOKUP('Données projet'!$B$10,Paramètres!$A$1:$I$89,3,0)*VLOOKUP('Données projet'!$B$10,Paramètres!$A$1:$I$89,5,0)</f>
        <v>2.4357112185621479</v>
      </c>
      <c r="AK10" s="14">
        <f t="shared" si="35"/>
        <v>1.0119862660170416</v>
      </c>
      <c r="AL10" s="22">
        <f t="shared" si="4"/>
        <v>6.0047397856420881</v>
      </c>
      <c r="AM10" s="60">
        <f t="shared" si="5"/>
        <v>271.2269620078643</v>
      </c>
      <c r="AN10" s="60">
        <f ca="1">AVERAGE(OFFSET($AM$3,0,0,'Données projet'!$E$10+1,1))-AVERAGE(OFFSET($H$3,0,0,'Données projet'!$E$10+1,1))</f>
        <v>274.66236526869056</v>
      </c>
      <c r="AO10" s="60">
        <f t="shared" si="36"/>
        <v>256.90876395053073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>
        <f>EXP(-LN(2)/35)*AU9+(1-EXP(-LN(2)/35))/(LN(2)/35)*AQ10*AR10*VLOOKUP('Données projet'!$B$10,Paramètres!$A$1:$I$89,3,0)*0.475*44/12</f>
        <v>0</v>
      </c>
      <c r="AV10" s="23">
        <f>EXP(-LN(2)/25)*AV9+(1-EXP(-LN(2)/25))/(LN(2)/25)*Calculateur!AQ10*Calculateur!AS10*VLOOKUP('Données projet'!$B$10,Paramètres!$A$1:$I$89,3,0)*0.475*44/12</f>
        <v>0</v>
      </c>
      <c r="AW10" s="23">
        <f>EXP(-LN(2)/2)*AW9+(1-EXP(-LN(2)/2))/(LN(2)/2)*AQ10*AT10*VLOOKUP('Données projet'!$B$10,Paramètres!$A$1:$I$89,3,0)*0.475*44/12</f>
        <v>0</v>
      </c>
      <c r="AX10" s="23">
        <f t="shared" si="6"/>
        <v>0</v>
      </c>
      <c r="AY10" s="76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3.65</v>
      </c>
      <c r="BD10" s="13">
        <f>IF('Données projet'!$A$88&gt;35,BD9+BC10-BL9,IF(A10&lt;'Données projet'!$A$88,$BA$205^A10,IF(A10='Données projet'!$A$88,'Données projet'!$B$88,BD9+BC10-BL9)))</f>
        <v>4.4891384635544309</v>
      </c>
      <c r="BE10" s="14">
        <f>BD10*VLOOKUP('Données projet'!$B$11,Paramètres!$A$1:$I$89,3,0)*VLOOKUP('Données projet'!$B$11,Paramètres!$A$1:$I$89,5,0)</f>
        <v>4.0617724818240486</v>
      </c>
      <c r="BF10" s="14">
        <f t="shared" si="37"/>
        <v>1.590058719758437</v>
      </c>
      <c r="BG10" s="22">
        <f t="shared" si="7"/>
        <v>9.8436060094228282</v>
      </c>
      <c r="BH10" s="60">
        <f t="shared" si="8"/>
        <v>275.06582823164507</v>
      </c>
      <c r="BI10" s="60">
        <f ca="1">AVERAGE(OFFSET($BH$3,0,0,'Données projet'!$E$11+1,1))-AVERAGE(OFFSET($H$3,0,0,'Données projet'!$E$11+1,1))</f>
        <v>529.25712986118265</v>
      </c>
      <c r="BJ10" s="60">
        <f t="shared" si="38"/>
        <v>278.21741231699929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>
        <f>EXP(-LN(2)/35)*BP9+(1-EXP(-LN(2)/35))/(LN(2)/35)*BL10*BM10*VLOOKUP('Données projet'!$B$11,Paramètres!$A$1:$I$89,3,0)*0.475*44/12</f>
        <v>0</v>
      </c>
      <c r="BQ10" s="23">
        <f>EXP(-LN(2)/25)*BQ9+(1-EXP(-LN(2)/25))/(LN(2)/25)*Calculateur!BL10*Calculateur!BN10*VLOOKUP('Données projet'!$B$11,Paramètres!$A$1:$I$89,3,0)*0.475*44/12</f>
        <v>0</v>
      </c>
      <c r="BR10" s="23">
        <f>EXP(-LN(2)/2)*BR9+(1-EXP(-LN(2)/2))/(LN(2)/2)*BL10*BO10*VLOOKUP('Données projet'!$B$11,Paramètres!$A$1:$I$89,3,0)*0.475*44/12</f>
        <v>0</v>
      </c>
      <c r="BS10" s="24">
        <f t="shared" si="9"/>
        <v>0</v>
      </c>
      <c r="BT10" s="77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3.65</v>
      </c>
      <c r="BY10" s="13">
        <f>IF('Données projet'!$A$114&gt;35,BY9+BX10-CG9,IF(A10&lt;'Données projet'!$A$114,$BV$205^A10,IF(A10='Données projet'!$A$114,'Données projet'!$B$114,BY9+BX10-CG9)))</f>
        <v>4.4891384635544309</v>
      </c>
      <c r="BZ10" s="14">
        <f>BY10*VLOOKUP('Données projet'!$B$12,Paramètres!$A$1:$I$89,3,0)*VLOOKUP('Données projet'!$B$12,Paramètres!$A$1:$I$89,5,0)</f>
        <v>4.5519864020441929</v>
      </c>
      <c r="CA10" s="14">
        <f t="shared" si="39"/>
        <v>1.7584840343783612</v>
      </c>
      <c r="CB10" s="22">
        <f t="shared" si="10"/>
        <v>10.990736010102614</v>
      </c>
      <c r="CC10" s="60">
        <f t="shared" si="11"/>
        <v>276.21295823232487</v>
      </c>
      <c r="CD10" s="60">
        <f ca="1">AVERAGE(OFFSET($CC$3,0,0,'Données projet'!$E$12+1,1))-AVERAGE(OFFSET($H$3,0,0,'Données projet'!$E$12+1,1))</f>
        <v>587.74247372331615</v>
      </c>
      <c r="CE10" s="60">
        <f t="shared" si="40"/>
        <v>306.61893266146666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>
        <f>EXP(-LN(2)/35)*CK9+(1-EXP(-LN(2)/35))/(LN(2)/35)*CG10*CH10*VLOOKUP('Données projet'!$B$12,Paramètres!$A$1:$I$89,3,0)*0.475*44/12</f>
        <v>0</v>
      </c>
      <c r="CL10" s="23">
        <f>EXP(-LN(2)/25)*CL9+(1-EXP(-LN(2)/25))/(LN(2)/25)*Calculateur!CG10*Calculateur!CI10*VLOOKUP('Données projet'!$B$12,Paramètres!$A$1:$I$89,3,0)*0.475*44/12</f>
        <v>0</v>
      </c>
      <c r="CM10" s="23">
        <f>EXP(-LN(2)/2)*CM9+(1-EXP(-LN(2)/2))/(LN(2)/2)*CG10*CJ10*VLOOKUP('Données projet'!$B$12,Paramètres!$A$1:$I$89,3,0)*0.475*44/12</f>
        <v>0</v>
      </c>
      <c r="CN10" s="24">
        <f t="shared" si="12"/>
        <v>0</v>
      </c>
      <c r="CO10" s="77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3.65</v>
      </c>
      <c r="CT10" s="13">
        <f>IF('Données projet'!$A$140&gt;35,CT9+CS10-DB9,IF(A10&lt;'Données projet'!$A$140,$CQ$205^A10,IF(A10='Données projet'!$A$140,'Données projet'!$B$140,CT9+CS10-DB9)))</f>
        <v>4.4891384635544309</v>
      </c>
      <c r="CU10" s="18">
        <f>CT10*VLOOKUP('Données projet'!$B$13,Paramètres!$A$1:$I$89,3,0)*VLOOKUP('Données projet'!$B$13,Paramètres!$A$1:$I$89,5,0)</f>
        <v>4.8321086421699899</v>
      </c>
      <c r="CV10" s="14">
        <f t="shared" si="41"/>
        <v>1.8537674162284574</v>
      </c>
      <c r="CW10" s="22">
        <f t="shared" si="13"/>
        <v>11.644567468377296</v>
      </c>
      <c r="CX10" s="60">
        <f t="shared" si="14"/>
        <v>276.86678969059955</v>
      </c>
      <c r="CY10" s="60">
        <f ca="1">AVERAGE(OFFSET($CX$3,0,0,'Données projet'!$E$13+1,1))-AVERAGE(OFFSET($H$3,0,0,'Données projet'!$E$13+1,1))</f>
        <v>621.10465023992288</v>
      </c>
      <c r="CZ10" s="60">
        <f t="shared" si="42"/>
        <v>322.81767004794284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>
        <f>EXP(-LN(2)/35)*DF9+(1-EXP(-LN(2)/35))/(LN(2)/35)*DB10*DC10*VLOOKUP('Données projet'!$B$13,Paramètres!$A$1:$I$89,3,0)*0.475*44/12</f>
        <v>0</v>
      </c>
      <c r="DG10" s="23">
        <f>EXP(-LN(2)/25)*DG9+(1-EXP(-LN(2)/25))/(LN(2)/25)*Calculateur!DB10*Calculateur!DD10*VLOOKUP('Données projet'!$B$13,Paramètres!$A$1:$I$89,3,0)*0.475*44/12</f>
        <v>0</v>
      </c>
      <c r="DH10" s="23">
        <f>EXP(-LN(2)/2)*DH9+(1-EXP(-LN(2)/2))/(LN(2)/2)*DB10*DE10*VLOOKUP('Données projet'!$B$13,Paramètres!$A$1:$I$89,3,0)*0.475*44/12</f>
        <v>0</v>
      </c>
      <c r="DI10" s="24">
        <f t="shared" si="15"/>
        <v>0</v>
      </c>
      <c r="DJ10" s="77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3.65</v>
      </c>
      <c r="DO10" s="13">
        <f>IF('Données projet'!$A$166&gt;35,DO9+DN10-DW9,IF(A10&lt;'Données projet'!$A$166,$DL$205^A10,IF(A10='Données projet'!$A$166,'Données projet'!$B$166,DO9+DN10-DW9)))</f>
        <v>4.4891384635544309</v>
      </c>
      <c r="DP10" s="18">
        <f>DO10*VLOOKUP('Données projet'!$B$14,Paramètres!$A$1:$I$89,3,0)*VLOOKUP('Données projet'!$B$14,Paramètres!$A$1:$I$89,5,0)</f>
        <v>4.3418947219498456</v>
      </c>
      <c r="DQ10" s="14">
        <f t="shared" si="43"/>
        <v>1.6865743243491664</v>
      </c>
      <c r="DR10" s="22">
        <f t="shared" si="16"/>
        <v>10.499583588970779</v>
      </c>
      <c r="DS10" s="60">
        <f t="shared" si="17"/>
        <v>275.72180581119301</v>
      </c>
      <c r="DT10" s="60">
        <f ca="1">AVERAGE(OFFSET($DS$3,0,0,'Données projet'!$E$14+1,1))-AVERAGE(OFFSET($H$3,0,0,'Données projet'!$E$14+1,1))</f>
        <v>562.69380557620775</v>
      </c>
      <c r="DU10" s="60">
        <f t="shared" si="44"/>
        <v>294.45557293177131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>
        <f>EXP(-LN(2)/35)*EA9+(1-EXP(-LN(2)/35))/(LN(2)/35)*DW10*DX10*VLOOKUP('Données projet'!$B$14,Paramètres!$A$1:$I$89,3,0)*0.475*44/12</f>
        <v>0</v>
      </c>
      <c r="EB10" s="23">
        <f>EXP(-LN(2)/25)*EB9+(1-EXP(-LN(2)/25))/(LN(2)/25)*Calculateur!DW10*Calculateur!DY10*VLOOKUP('Données projet'!$B$14,Paramètres!$A$1:$I$89,3,0)*0.475*44/12</f>
        <v>0</v>
      </c>
      <c r="EC10" s="23">
        <f>EXP(-LN(2)/2)*EC9+(1-EXP(-LN(2)/2))/(LN(2)/2)*DW10*DZ10*VLOOKUP('Données projet'!$B$14,Paramètres!$A$1:$I$89,3,0)*0.475*44/12</f>
        <v>0</v>
      </c>
      <c r="ED10" s="24">
        <f t="shared" si="18"/>
        <v>0</v>
      </c>
      <c r="EE10" s="77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2.6666666666666665</v>
      </c>
      <c r="EJ10" s="13">
        <f>IF('Données projet'!$A$192&gt;35,EJ9+EI10-ER9,IF(A10&lt;'Données projet'!$A$192,$EG$205^A10,IF(A10='Données projet'!$A$192,'Données projet'!$B$192,EJ9+EI10-ER9)))</f>
        <v>5.5927833467405659</v>
      </c>
      <c r="EK10" s="18">
        <f>EJ10*VLOOKUP('Données projet'!$B$15,Paramètres!$A$1:$I$89,3,0)*VLOOKUP('Données projet'!$B$15,Paramètres!$A$1:$I$89,5,0)</f>
        <v>4.3623710104576414</v>
      </c>
      <c r="EL10" s="14">
        <f t="shared" si="45"/>
        <v>1.6936004212396314</v>
      </c>
      <c r="EM10" s="22">
        <f t="shared" si="19"/>
        <v>10.54748357687275</v>
      </c>
      <c r="EN10" s="60">
        <f t="shared" si="20"/>
        <v>275.76970579909499</v>
      </c>
      <c r="EO10" s="60">
        <f ca="1">AVERAGE(OFFSET($EN$3,0,0,'Données projet'!$E$15+1,1))-AVERAGE(OFFSET($H$3,0,0,'Données projet'!$E$15+1,1))</f>
        <v>292.57482726862594</v>
      </c>
      <c r="EP10" s="60">
        <f t="shared" si="46"/>
        <v>283.48738729114024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>
        <f>EXP(-LN(2)/35)*EV9+(1-EXP(-LN(2)/35))/(LN(2)/35)*ER10*ES10*VLOOKUP('Données projet'!$B$15,Paramètres!$A$1:$I$89,3,0)*0.475*44/12</f>
        <v>0</v>
      </c>
      <c r="EW10" s="23">
        <f>EXP(-LN(2)/25)*EW9+(1-EXP(-LN(2)/25))/(LN(2)/25)*Calculateur!ER10*Calculateur!ET10*VLOOKUP('Données projet'!$B$15,Paramètres!$A$1:$I$89,3,0)*0.475*44/12</f>
        <v>0</v>
      </c>
      <c r="EX10" s="23">
        <f>EXP(-LN(2)/2)*EX9+(1-EXP(-LN(2)/2))/(LN(2)/2)*ER10*EU10*VLOOKUP('Données projet'!$B$15,Paramètres!$A$1:$I$89,3,0)*0.475*44/12</f>
        <v>0</v>
      </c>
      <c r="EY10" s="24">
        <f t="shared" si="21"/>
        <v>0</v>
      </c>
      <c r="EZ10" s="77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0" t="e">
        <f t="shared" si="23"/>
        <v>#N/A</v>
      </c>
      <c r="FJ10" s="60" t="e">
        <f ca="1">AVERAGE(OFFSET($FI$3,0,0,'Données projet'!$E$16+1,1))-AVERAGE(OFFSET($H$3,0,0,'Données projet'!$E$16+1,1))</f>
        <v>#N/A</v>
      </c>
      <c r="FK10" s="60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77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0" t="e">
        <f t="shared" si="26"/>
        <v>#N/A</v>
      </c>
      <c r="GE10" s="60" t="e">
        <f ca="1">AVERAGE(OFFSET($GD$3,0,0,'Données projet'!$E$17+1,1))-AVERAGE(OFFSET($H$3,0,0,'Données projet'!$E$17+1,1))</f>
        <v>#N/A</v>
      </c>
      <c r="GF10" s="60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77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0" t="e">
        <f t="shared" si="29"/>
        <v>#N/A</v>
      </c>
      <c r="GZ10" s="60" t="e">
        <f ca="1">AVERAGE(OFFSET($GY$3,0,0,'Données projet'!$E$18+1,1))-AVERAGE(OFFSET($H$3,0,0,'Données projet'!$E$18+1,1))</f>
        <v>#N/A</v>
      </c>
      <c r="HA10" s="60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25">
      <c r="A11" s="11">
        <f t="shared" si="31"/>
        <v>8</v>
      </c>
      <c r="B11" s="74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2">
        <f t="shared" si="32"/>
        <v>0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0</v>
      </c>
      <c r="H11" s="67">
        <f t="shared" si="1"/>
        <v>256.66666666666669</v>
      </c>
      <c r="I11" s="7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3.1623931623931623</v>
      </c>
      <c r="N11" s="14">
        <f>IF('Données projet'!$A$36&gt;35,N10+M11-V10,IF(A11&lt;'Données projet'!$A$36,$K$205^A11,IF(A11='Données projet'!$A$36,'Données projet'!$B$36,N10+M11-V10)))</f>
        <v>7.8329219313664717</v>
      </c>
      <c r="O11" s="14">
        <f>N11*VLOOKUP('Données projet'!$B$9,Paramètres!$A$1:$I$89,3,0)*VLOOKUP('Données projet'!$B$9,Paramètres!$A$1:$I$89,5,0)</f>
        <v>7.4538085098883347</v>
      </c>
      <c r="P11" s="14">
        <f t="shared" si="33"/>
        <v>2.7188513904855807</v>
      </c>
      <c r="Q11" s="22">
        <f t="shared" si="2"/>
        <v>17.717382659817904</v>
      </c>
      <c r="R11" s="60">
        <f t="shared" si="0"/>
        <v>284.16182710426239</v>
      </c>
      <c r="S11" s="60">
        <f ca="1">AVERAGE(OFFSET($R$3,0,0,'Données projet'!$E$9+1,1))-AVERAGE(OFFSET($H$3,0,0,'Données projet'!$E$9+1,1))</f>
        <v>403.49781966317852</v>
      </c>
      <c r="T11" s="60">
        <f t="shared" si="34"/>
        <v>326.06674572505409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0.6</v>
      </c>
      <c r="AI11" s="14">
        <f>IF('Données projet'!$A$62&gt;35,AI10+AH11-AQ10,IF(A11&lt;'Données projet'!$A$62,$AF$205^A11,IF(A11='Données projet'!$A$62,'Données projet'!$B$62,AI10+AH11-AQ10)))</f>
        <v>3.227968874176038</v>
      </c>
      <c r="AJ11" s="14">
        <f>AI11*VLOOKUP('Données projet'!$B$10,Paramètres!$A$1:$I$89,3,0)*VLOOKUP('Données projet'!$B$10,Paramètres!$A$1:$I$89,5,0)</f>
        <v>2.8199536084801871</v>
      </c>
      <c r="AK11" s="14">
        <f t="shared" si="35"/>
        <v>1.1518233118873293</v>
      </c>
      <c r="AL11" s="22">
        <f t="shared" si="4"/>
        <v>6.9175114696400923</v>
      </c>
      <c r="AM11" s="60">
        <f t="shared" si="5"/>
        <v>273.36195591408455</v>
      </c>
      <c r="AN11" s="60">
        <f ca="1">AVERAGE(OFFSET($AM$3,0,0,'Données projet'!$E$10+1,1))-AVERAGE(OFFSET($H$3,0,0,'Données projet'!$E$10+1,1))</f>
        <v>274.66236526869056</v>
      </c>
      <c r="AO11" s="60">
        <f t="shared" si="36"/>
        <v>256.90876395053073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>
        <f>EXP(-LN(2)/35)*AU10+(1-EXP(-LN(2)/35))/(LN(2)/35)*AQ11*AR11*VLOOKUP('Données projet'!$B$10,Paramètres!$A$1:$I$89,3,0)*0.475*44/12</f>
        <v>0</v>
      </c>
      <c r="AV11" s="23">
        <f>EXP(-LN(2)/25)*AV10+(1-EXP(-LN(2)/25))/(LN(2)/25)*Calculateur!AQ11*Calculateur!AS11*VLOOKUP('Données projet'!$B$10,Paramètres!$A$1:$I$89,3,0)*0.475*44/12</f>
        <v>0</v>
      </c>
      <c r="AW11" s="23">
        <f>EXP(-LN(2)/2)*AW10+(1-EXP(-LN(2)/2))/(LN(2)/2)*AQ11*AT11*VLOOKUP('Données projet'!$B$10,Paramètres!$A$1:$I$89,3,0)*0.475*44/12</f>
        <v>0</v>
      </c>
      <c r="AX11" s="23">
        <f t="shared" si="6"/>
        <v>0</v>
      </c>
      <c r="AY11" s="76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3.65</v>
      </c>
      <c r="BD11" s="13">
        <f>IF('Données projet'!$A$88&gt;35,BD10+BC11-BL10,IF(A11&lt;'Données projet'!$A$88,$BA$205^A11,IF(A11='Données projet'!$A$88,'Données projet'!$B$88,BD10+BC11-BL10)))</f>
        <v>5.563257268920875</v>
      </c>
      <c r="BE11" s="14">
        <f>BD11*VLOOKUP('Données projet'!$B$11,Paramètres!$A$1:$I$89,3,0)*VLOOKUP('Données projet'!$B$11,Paramètres!$A$1:$I$89,5,0)</f>
        <v>5.0336351769196082</v>
      </c>
      <c r="BF11" s="14">
        <f t="shared" si="37"/>
        <v>1.9219176128866391</v>
      </c>
      <c r="BG11" s="22">
        <f t="shared" si="7"/>
        <v>12.11425444224588</v>
      </c>
      <c r="BH11" s="60">
        <f t="shared" si="8"/>
        <v>278.55869888669031</v>
      </c>
      <c r="BI11" s="60">
        <f ca="1">AVERAGE(OFFSET($BH$3,0,0,'Données projet'!$E$11+1,1))-AVERAGE(OFFSET($H$3,0,0,'Données projet'!$E$11+1,1))</f>
        <v>529.25712986118265</v>
      </c>
      <c r="BJ11" s="60">
        <f t="shared" si="38"/>
        <v>278.21741231699929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>
        <f>EXP(-LN(2)/35)*BP10+(1-EXP(-LN(2)/35))/(LN(2)/35)*BL11*BM11*VLOOKUP('Données projet'!$B$11,Paramètres!$A$1:$I$89,3,0)*0.475*44/12</f>
        <v>0</v>
      </c>
      <c r="BQ11" s="23">
        <f>EXP(-LN(2)/25)*BQ10+(1-EXP(-LN(2)/25))/(LN(2)/25)*Calculateur!BL11*Calculateur!BN11*VLOOKUP('Données projet'!$B$11,Paramètres!$A$1:$I$89,3,0)*0.475*44/12</f>
        <v>0</v>
      </c>
      <c r="BR11" s="23">
        <f>EXP(-LN(2)/2)*BR10+(1-EXP(-LN(2)/2))/(LN(2)/2)*BL11*BO11*VLOOKUP('Données projet'!$B$11,Paramètres!$A$1:$I$89,3,0)*0.475*44/12</f>
        <v>0</v>
      </c>
      <c r="BS11" s="24">
        <f t="shared" si="9"/>
        <v>0</v>
      </c>
      <c r="BT11" s="77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3.65</v>
      </c>
      <c r="BY11" s="13">
        <f>IF('Données projet'!$A$114&gt;35,BY10+BX11-CG10,IF(A11&lt;'Données projet'!$A$114,$BV$205^A11,IF(A11='Données projet'!$A$114,'Données projet'!$B$114,BY10+BX11-CG10)))</f>
        <v>5.563257268920875</v>
      </c>
      <c r="BZ11" s="14">
        <f>BY11*VLOOKUP('Données projet'!$B$12,Paramètres!$A$1:$I$89,3,0)*VLOOKUP('Données projet'!$B$12,Paramètres!$A$1:$I$89,5,0)</f>
        <v>5.6411428706857674</v>
      </c>
      <c r="CA11" s="14">
        <f t="shared" si="39"/>
        <v>2.125494735292019</v>
      </c>
      <c r="CB11" s="22">
        <f t="shared" si="10"/>
        <v>13.526893830411311</v>
      </c>
      <c r="CC11" s="60">
        <f t="shared" si="11"/>
        <v>279.97133827485578</v>
      </c>
      <c r="CD11" s="60">
        <f ca="1">AVERAGE(OFFSET($CC$3,0,0,'Données projet'!$E$12+1,1))-AVERAGE(OFFSET($H$3,0,0,'Données projet'!$E$12+1,1))</f>
        <v>587.74247372331615</v>
      </c>
      <c r="CE11" s="60">
        <f t="shared" si="40"/>
        <v>306.61893266146666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>
        <f>EXP(-LN(2)/35)*CK10+(1-EXP(-LN(2)/35))/(LN(2)/35)*CG11*CH11*VLOOKUP('Données projet'!$B$12,Paramètres!$A$1:$I$89,3,0)*0.475*44/12</f>
        <v>0</v>
      </c>
      <c r="CL11" s="23">
        <f>EXP(-LN(2)/25)*CL10+(1-EXP(-LN(2)/25))/(LN(2)/25)*Calculateur!CG11*Calculateur!CI11*VLOOKUP('Données projet'!$B$12,Paramètres!$A$1:$I$89,3,0)*0.475*44/12</f>
        <v>0</v>
      </c>
      <c r="CM11" s="23">
        <f>EXP(-LN(2)/2)*CM10+(1-EXP(-LN(2)/2))/(LN(2)/2)*CG11*CJ11*VLOOKUP('Données projet'!$B$12,Paramètres!$A$1:$I$89,3,0)*0.475*44/12</f>
        <v>0</v>
      </c>
      <c r="CN11" s="24">
        <f t="shared" si="12"/>
        <v>0</v>
      </c>
      <c r="CO11" s="77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3.65</v>
      </c>
      <c r="CT11" s="13">
        <f>IF('Données projet'!$A$140&gt;35,CT10+CS11-DB10,IF(A11&lt;'Données projet'!$A$140,$CQ$205^A11,IF(A11='Données projet'!$A$140,'Données projet'!$B$140,CT10+CS11-DB10)))</f>
        <v>5.563257268920875</v>
      </c>
      <c r="CU11" s="18">
        <f>CT11*VLOOKUP('Données projet'!$B$13,Paramètres!$A$1:$I$89,3,0)*VLOOKUP('Données projet'!$B$13,Paramètres!$A$1:$I$89,5,0)</f>
        <v>5.9882901242664301</v>
      </c>
      <c r="CV11" s="14">
        <f t="shared" si="41"/>
        <v>2.2406645762026263</v>
      </c>
      <c r="CW11" s="22">
        <f t="shared" si="13"/>
        <v>14.332096103316941</v>
      </c>
      <c r="CX11" s="60">
        <f t="shared" si="14"/>
        <v>280.77654054776139</v>
      </c>
      <c r="CY11" s="60">
        <f ca="1">AVERAGE(OFFSET($CX$3,0,0,'Données projet'!$E$13+1,1))-AVERAGE(OFFSET($H$3,0,0,'Données projet'!$E$13+1,1))</f>
        <v>621.10465023992288</v>
      </c>
      <c r="CZ11" s="60">
        <f t="shared" si="42"/>
        <v>322.81767004794284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>
        <f>EXP(-LN(2)/35)*DF10+(1-EXP(-LN(2)/35))/(LN(2)/35)*DB11*DC11*VLOOKUP('Données projet'!$B$13,Paramètres!$A$1:$I$89,3,0)*0.475*44/12</f>
        <v>0</v>
      </c>
      <c r="DG11" s="23">
        <f>EXP(-LN(2)/25)*DG10+(1-EXP(-LN(2)/25))/(LN(2)/25)*Calculateur!DB11*Calculateur!DD11*VLOOKUP('Données projet'!$B$13,Paramètres!$A$1:$I$89,3,0)*0.475*44/12</f>
        <v>0</v>
      </c>
      <c r="DH11" s="23">
        <f>EXP(-LN(2)/2)*DH10+(1-EXP(-LN(2)/2))/(LN(2)/2)*DB11*DE11*VLOOKUP('Données projet'!$B$13,Paramètres!$A$1:$I$89,3,0)*0.475*44/12</f>
        <v>0</v>
      </c>
      <c r="DI11" s="24">
        <f t="shared" si="15"/>
        <v>0</v>
      </c>
      <c r="DJ11" s="77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3.65</v>
      </c>
      <c r="DO11" s="13">
        <f>IF('Données projet'!$A$166&gt;35,DO10+DN11-DW10,IF(A11&lt;'Données projet'!$A$166,$DL$205^A11,IF(A11='Données projet'!$A$166,'Données projet'!$B$166,DO10+DN11-DW10)))</f>
        <v>5.563257268920875</v>
      </c>
      <c r="DP11" s="18">
        <f>DO11*VLOOKUP('Données projet'!$B$14,Paramètres!$A$1:$I$89,3,0)*VLOOKUP('Données projet'!$B$14,Paramètres!$A$1:$I$89,5,0)</f>
        <v>5.3807824305002701</v>
      </c>
      <c r="DQ11" s="14">
        <f t="shared" si="43"/>
        <v>2.0385768519929188</v>
      </c>
      <c r="DR11" s="22">
        <f t="shared" si="16"/>
        <v>12.922050750342303</v>
      </c>
      <c r="DS11" s="60">
        <f t="shared" si="17"/>
        <v>279.36649519478675</v>
      </c>
      <c r="DT11" s="60">
        <f ca="1">AVERAGE(OFFSET($DS$3,0,0,'Données projet'!$E$14+1,1))-AVERAGE(OFFSET($H$3,0,0,'Données projet'!$E$14+1,1))</f>
        <v>562.69380557620775</v>
      </c>
      <c r="DU11" s="60">
        <f t="shared" si="44"/>
        <v>294.45557293177131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>
        <f>EXP(-LN(2)/35)*EA10+(1-EXP(-LN(2)/35))/(LN(2)/35)*DW11*DX11*VLOOKUP('Données projet'!$B$14,Paramètres!$A$1:$I$89,3,0)*0.475*44/12</f>
        <v>0</v>
      </c>
      <c r="EB11" s="23">
        <f>EXP(-LN(2)/25)*EB10+(1-EXP(-LN(2)/25))/(LN(2)/25)*Calculateur!DW11*Calculateur!DY11*VLOOKUP('Données projet'!$B$14,Paramètres!$A$1:$I$89,3,0)*0.475*44/12</f>
        <v>0</v>
      </c>
      <c r="EC11" s="23">
        <f>EXP(-LN(2)/2)*EC10+(1-EXP(-LN(2)/2))/(LN(2)/2)*DW11*DZ11*VLOOKUP('Données projet'!$B$14,Paramètres!$A$1:$I$89,3,0)*0.475*44/12</f>
        <v>0</v>
      </c>
      <c r="ED11" s="24">
        <f t="shared" si="18"/>
        <v>0</v>
      </c>
      <c r="EE11" s="77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2.6666666666666665</v>
      </c>
      <c r="EJ11" s="13">
        <f>IF('Données projet'!$A$192&gt;35,EJ10+EI11-ER10,IF(A11&lt;'Données projet'!$A$192,$EG$205^A11,IF(A11='Données projet'!$A$192,'Données projet'!$B$192,EJ10+EI11-ER10)))</f>
        <v>7.1520739352994367</v>
      </c>
      <c r="EK11" s="18">
        <f>EJ11*VLOOKUP('Données projet'!$B$15,Paramètres!$A$1:$I$89,3,0)*VLOOKUP('Données projet'!$B$15,Paramètres!$A$1:$I$89,5,0)</f>
        <v>5.5786176695335605</v>
      </c>
      <c r="EL11" s="14">
        <f t="shared" si="45"/>
        <v>2.1046649418345189</v>
      </c>
      <c r="EM11" s="22">
        <f t="shared" si="19"/>
        <v>13.381717214799407</v>
      </c>
      <c r="EN11" s="60">
        <f t="shared" si="20"/>
        <v>279.82616165924384</v>
      </c>
      <c r="EO11" s="60">
        <f ca="1">AVERAGE(OFFSET($EN$3,0,0,'Données projet'!$E$15+1,1))-AVERAGE(OFFSET($H$3,0,0,'Données projet'!$E$15+1,1))</f>
        <v>292.57482726862594</v>
      </c>
      <c r="EP11" s="60">
        <f t="shared" si="46"/>
        <v>283.48738729114024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>
        <f>EXP(-LN(2)/35)*EV10+(1-EXP(-LN(2)/35))/(LN(2)/35)*ER11*ES11*VLOOKUP('Données projet'!$B$15,Paramètres!$A$1:$I$89,3,0)*0.475*44/12</f>
        <v>0</v>
      </c>
      <c r="EW11" s="23">
        <f>EXP(-LN(2)/25)*EW10+(1-EXP(-LN(2)/25))/(LN(2)/25)*Calculateur!ER11*Calculateur!ET11*VLOOKUP('Données projet'!$B$15,Paramètres!$A$1:$I$89,3,0)*0.475*44/12</f>
        <v>0</v>
      </c>
      <c r="EX11" s="23">
        <f>EXP(-LN(2)/2)*EX10+(1-EXP(-LN(2)/2))/(LN(2)/2)*ER11*EU11*VLOOKUP('Données projet'!$B$15,Paramètres!$A$1:$I$89,3,0)*0.475*44/12</f>
        <v>0</v>
      </c>
      <c r="EY11" s="24">
        <f t="shared" si="21"/>
        <v>0</v>
      </c>
      <c r="EZ11" s="77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0" t="e">
        <f t="shared" si="23"/>
        <v>#N/A</v>
      </c>
      <c r="FJ11" s="60" t="e">
        <f ca="1">AVERAGE(OFFSET($FI$3,0,0,'Données projet'!$E$16+1,1))-AVERAGE(OFFSET($H$3,0,0,'Données projet'!$E$16+1,1))</f>
        <v>#N/A</v>
      </c>
      <c r="FK11" s="60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77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0" t="e">
        <f t="shared" si="26"/>
        <v>#N/A</v>
      </c>
      <c r="GE11" s="60" t="e">
        <f ca="1">AVERAGE(OFFSET($GD$3,0,0,'Données projet'!$E$17+1,1))-AVERAGE(OFFSET($H$3,0,0,'Données projet'!$E$17+1,1))</f>
        <v>#N/A</v>
      </c>
      <c r="GF11" s="60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77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0" t="e">
        <f t="shared" si="29"/>
        <v>#N/A</v>
      </c>
      <c r="GZ11" s="60" t="e">
        <f ca="1">AVERAGE(OFFSET($GY$3,0,0,'Données projet'!$E$18+1,1))-AVERAGE(OFFSET($H$3,0,0,'Données projet'!$E$18+1,1))</f>
        <v>#N/A</v>
      </c>
      <c r="HA11" s="60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25">
      <c r="A12" s="11">
        <f t="shared" si="31"/>
        <v>9</v>
      </c>
      <c r="B12" s="74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2">
        <f t="shared" si="32"/>
        <v>0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0</v>
      </c>
      <c r="H12" s="67">
        <f t="shared" si="1"/>
        <v>256.66666666666669</v>
      </c>
      <c r="I12" s="7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3.1623931623931623</v>
      </c>
      <c r="N12" s="14">
        <f>IF('Données projet'!$A$36&gt;35,N11+M12-V11,IF(A12&lt;'Données projet'!$A$36,$K$205^A12,IF(A12='Données projet'!$A$36,'Données projet'!$B$36,N11+M12-V11)))</f>
        <v>10.131278941616319</v>
      </c>
      <c r="O12" s="14">
        <f>N12*VLOOKUP('Données projet'!$B$9,Paramètres!$A$1:$I$89,3,0)*VLOOKUP('Données projet'!$B$9,Paramètres!$A$1:$I$89,5,0)</f>
        <v>9.6409250408420899</v>
      </c>
      <c r="P12" s="14">
        <f t="shared" si="33"/>
        <v>3.412866918119311</v>
      </c>
      <c r="Q12" s="22">
        <f t="shared" si="2"/>
        <v>22.735354328524441</v>
      </c>
      <c r="R12" s="60">
        <f t="shared" si="0"/>
        <v>290.40202099519115</v>
      </c>
      <c r="S12" s="60">
        <f ca="1">AVERAGE(OFFSET($R$3,0,0,'Données projet'!$E$9+1,1))-AVERAGE(OFFSET($H$3,0,0,'Données projet'!$E$9+1,1))</f>
        <v>403.49781966317852</v>
      </c>
      <c r="T12" s="60">
        <f t="shared" si="34"/>
        <v>326.06674572505409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0.6</v>
      </c>
      <c r="AI12" s="14">
        <f>IF('Données projet'!$A$62&gt;35,AI11+AH12-AQ11,IF(A12&lt;'Données projet'!$A$62,$AF$205^A12,IF(A12='Données projet'!$A$62,'Données projet'!$B$62,AI11+AH12-AQ11)))</f>
        <v>3.7371928188465526</v>
      </c>
      <c r="AJ12" s="14">
        <f>AI12*VLOOKUP('Données projet'!$B$10,Paramètres!$A$1:$I$89,3,0)*VLOOKUP('Données projet'!$B$10,Paramètres!$A$1:$I$89,5,0)</f>
        <v>3.2648116465443486</v>
      </c>
      <c r="AK12" s="14">
        <f t="shared" si="35"/>
        <v>1.310983149038857</v>
      </c>
      <c r="AL12" s="22">
        <f t="shared" si="4"/>
        <v>7.9695092689740825</v>
      </c>
      <c r="AM12" s="60">
        <f t="shared" si="5"/>
        <v>275.63617593564078</v>
      </c>
      <c r="AN12" s="60">
        <f ca="1">AVERAGE(OFFSET($AM$3,0,0,'Données projet'!$E$10+1,1))-AVERAGE(OFFSET($H$3,0,0,'Données projet'!$E$10+1,1))</f>
        <v>274.66236526869056</v>
      </c>
      <c r="AO12" s="60">
        <f t="shared" si="36"/>
        <v>256.90876395053073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>
        <f>EXP(-LN(2)/35)*AU11+(1-EXP(-LN(2)/35))/(LN(2)/35)*AQ12*AR12*VLOOKUP('Données projet'!$B$10,Paramètres!$A$1:$I$89,3,0)*0.475*44/12</f>
        <v>0</v>
      </c>
      <c r="AV12" s="23">
        <f>EXP(-LN(2)/25)*AV11+(1-EXP(-LN(2)/25))/(LN(2)/25)*Calculateur!AQ12*Calculateur!AS12*VLOOKUP('Données projet'!$B$10,Paramètres!$A$1:$I$89,3,0)*0.475*44/12</f>
        <v>0</v>
      </c>
      <c r="AW12" s="23">
        <f>EXP(-LN(2)/2)*AW11+(1-EXP(-LN(2)/2))/(LN(2)/2)*AQ12*AT12*VLOOKUP('Données projet'!$B$10,Paramètres!$A$1:$I$89,3,0)*0.475*44/12</f>
        <v>0</v>
      </c>
      <c r="AX12" s="23">
        <f t="shared" si="6"/>
        <v>0</v>
      </c>
      <c r="AY12" s="76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3.65</v>
      </c>
      <c r="BD12" s="13">
        <f>IF('Données projet'!$A$88&gt;35,BD11+BC12-BL11,IF(A12&lt;'Données projet'!$A$88,$BA$205^A12,IF(A12='Données projet'!$A$88,'Données projet'!$B$88,BD11+BC12-BL11)))</f>
        <v>6.8943811137639424</v>
      </c>
      <c r="BE12" s="14">
        <f>BD12*VLOOKUP('Données projet'!$B$11,Paramètres!$A$1:$I$89,3,0)*VLOOKUP('Données projet'!$B$11,Paramètres!$A$1:$I$89,5,0)</f>
        <v>6.2380360317336141</v>
      </c>
      <c r="BF12" s="14">
        <f t="shared" si="37"/>
        <v>2.3230383034439352</v>
      </c>
      <c r="BG12" s="22">
        <f t="shared" si="7"/>
        <v>14.910537800434229</v>
      </c>
      <c r="BH12" s="60">
        <f t="shared" si="8"/>
        <v>282.5772044671009</v>
      </c>
      <c r="BI12" s="60">
        <f ca="1">AVERAGE(OFFSET($BH$3,0,0,'Données projet'!$E$11+1,1))-AVERAGE(OFFSET($H$3,0,0,'Données projet'!$E$11+1,1))</f>
        <v>529.25712986118265</v>
      </c>
      <c r="BJ12" s="60">
        <f t="shared" si="38"/>
        <v>278.21741231699929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>
        <f>EXP(-LN(2)/35)*BP11+(1-EXP(-LN(2)/35))/(LN(2)/35)*BL12*BM12*VLOOKUP('Données projet'!$B$11,Paramètres!$A$1:$I$89,3,0)*0.475*44/12</f>
        <v>0</v>
      </c>
      <c r="BQ12" s="23">
        <f>EXP(-LN(2)/25)*BQ11+(1-EXP(-LN(2)/25))/(LN(2)/25)*Calculateur!BL12*Calculateur!BN12*VLOOKUP('Données projet'!$B$11,Paramètres!$A$1:$I$89,3,0)*0.475*44/12</f>
        <v>0</v>
      </c>
      <c r="BR12" s="23">
        <f>EXP(-LN(2)/2)*BR11+(1-EXP(-LN(2)/2))/(LN(2)/2)*BL12*BO12*VLOOKUP('Données projet'!$B$11,Paramètres!$A$1:$I$89,3,0)*0.475*44/12</f>
        <v>0</v>
      </c>
      <c r="BS12" s="24">
        <f t="shared" si="9"/>
        <v>0</v>
      </c>
      <c r="BT12" s="77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3.65</v>
      </c>
      <c r="BY12" s="13">
        <f>IF('Données projet'!$A$114&gt;35,BY11+BX12-CG11,IF(A12&lt;'Données projet'!$A$114,$BV$205^A12,IF(A12='Données projet'!$A$114,'Données projet'!$B$114,BY11+BX12-CG11)))</f>
        <v>6.8943811137639424</v>
      </c>
      <c r="BZ12" s="14">
        <f>BY12*VLOOKUP('Données projet'!$B$12,Paramètres!$A$1:$I$89,3,0)*VLOOKUP('Données projet'!$B$12,Paramètres!$A$1:$I$89,5,0)</f>
        <v>6.9909024493566383</v>
      </c>
      <c r="CA12" s="14">
        <f t="shared" si="39"/>
        <v>2.5691037174250742</v>
      </c>
      <c r="CB12" s="22">
        <f t="shared" si="10"/>
        <v>16.650344073811482</v>
      </c>
      <c r="CC12" s="60">
        <f t="shared" si="11"/>
        <v>284.31701074047817</v>
      </c>
      <c r="CD12" s="60">
        <f ca="1">AVERAGE(OFFSET($CC$3,0,0,'Données projet'!$E$12+1,1))-AVERAGE(OFFSET($H$3,0,0,'Données projet'!$E$12+1,1))</f>
        <v>587.74247372331615</v>
      </c>
      <c r="CE12" s="60">
        <f t="shared" si="40"/>
        <v>306.61893266146666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>
        <f>EXP(-LN(2)/35)*CK11+(1-EXP(-LN(2)/35))/(LN(2)/35)*CG12*CH12*VLOOKUP('Données projet'!$B$12,Paramètres!$A$1:$I$89,3,0)*0.475*44/12</f>
        <v>0</v>
      </c>
      <c r="CL12" s="23">
        <f>EXP(-LN(2)/25)*CL11+(1-EXP(-LN(2)/25))/(LN(2)/25)*Calculateur!CG12*Calculateur!CI12*VLOOKUP('Données projet'!$B$12,Paramètres!$A$1:$I$89,3,0)*0.475*44/12</f>
        <v>0</v>
      </c>
      <c r="CM12" s="23">
        <f>EXP(-LN(2)/2)*CM11+(1-EXP(-LN(2)/2))/(LN(2)/2)*CG12*CJ12*VLOOKUP('Données projet'!$B$12,Paramètres!$A$1:$I$89,3,0)*0.475*44/12</f>
        <v>0</v>
      </c>
      <c r="CN12" s="24">
        <f t="shared" si="12"/>
        <v>0</v>
      </c>
      <c r="CO12" s="77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3.65</v>
      </c>
      <c r="CT12" s="13">
        <f>IF('Données projet'!$A$140&gt;35,CT11+CS12-DB11,IF(A12&lt;'Données projet'!$A$140,$CQ$205^A12,IF(A12='Données projet'!$A$140,'Données projet'!$B$140,CT11+CS12-DB11)))</f>
        <v>6.8943811137639424</v>
      </c>
      <c r="CU12" s="18">
        <f>CT12*VLOOKUP('Données projet'!$B$13,Paramètres!$A$1:$I$89,3,0)*VLOOKUP('Données projet'!$B$13,Paramètres!$A$1:$I$89,5,0)</f>
        <v>7.4211118308555069</v>
      </c>
      <c r="CV12" s="14">
        <f t="shared" si="41"/>
        <v>2.7083104919730441</v>
      </c>
      <c r="CW12" s="22">
        <f t="shared" si="13"/>
        <v>17.642077212259725</v>
      </c>
      <c r="CX12" s="60">
        <f t="shared" si="14"/>
        <v>285.30874387892641</v>
      </c>
      <c r="CY12" s="60">
        <f ca="1">AVERAGE(OFFSET($CX$3,0,0,'Données projet'!$E$13+1,1))-AVERAGE(OFFSET($H$3,0,0,'Données projet'!$E$13+1,1))</f>
        <v>621.10465023992288</v>
      </c>
      <c r="CZ12" s="60">
        <f t="shared" si="42"/>
        <v>322.81767004794284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>
        <f>EXP(-LN(2)/35)*DF11+(1-EXP(-LN(2)/35))/(LN(2)/35)*DB12*DC12*VLOOKUP('Données projet'!$B$13,Paramètres!$A$1:$I$89,3,0)*0.475*44/12</f>
        <v>0</v>
      </c>
      <c r="DG12" s="23">
        <f>EXP(-LN(2)/25)*DG11+(1-EXP(-LN(2)/25))/(LN(2)/25)*Calculateur!DB12*Calculateur!DD12*VLOOKUP('Données projet'!$B$13,Paramètres!$A$1:$I$89,3,0)*0.475*44/12</f>
        <v>0</v>
      </c>
      <c r="DH12" s="23">
        <f>EXP(-LN(2)/2)*DH11+(1-EXP(-LN(2)/2))/(LN(2)/2)*DB12*DE12*VLOOKUP('Données projet'!$B$13,Paramètres!$A$1:$I$89,3,0)*0.475*44/12</f>
        <v>0</v>
      </c>
      <c r="DI12" s="24">
        <f t="shared" si="15"/>
        <v>0</v>
      </c>
      <c r="DJ12" s="77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3.65</v>
      </c>
      <c r="DO12" s="13">
        <f>IF('Données projet'!$A$166&gt;35,DO11+DN12-DW11,IF(A12&lt;'Données projet'!$A$166,$DL$205^A12,IF(A12='Données projet'!$A$166,'Données projet'!$B$166,DO11+DN12-DW11)))</f>
        <v>6.8943811137639424</v>
      </c>
      <c r="DP12" s="18">
        <f>DO12*VLOOKUP('Données projet'!$B$14,Paramètres!$A$1:$I$89,3,0)*VLOOKUP('Données projet'!$B$14,Paramètres!$A$1:$I$89,5,0)</f>
        <v>6.6682454132324853</v>
      </c>
      <c r="DQ12" s="14">
        <f t="shared" si="43"/>
        <v>2.4640453263659414</v>
      </c>
      <c r="DR12" s="22">
        <f t="shared" si="16"/>
        <v>15.905406371467258</v>
      </c>
      <c r="DS12" s="60">
        <f t="shared" si="17"/>
        <v>283.57207303813396</v>
      </c>
      <c r="DT12" s="60">
        <f ca="1">AVERAGE(OFFSET($DS$3,0,0,'Données projet'!$E$14+1,1))-AVERAGE(OFFSET($H$3,0,0,'Données projet'!$E$14+1,1))</f>
        <v>562.69380557620775</v>
      </c>
      <c r="DU12" s="60">
        <f t="shared" si="44"/>
        <v>294.45557293177131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>
        <f>EXP(-LN(2)/35)*EA11+(1-EXP(-LN(2)/35))/(LN(2)/35)*DW12*DX12*VLOOKUP('Données projet'!$B$14,Paramètres!$A$1:$I$89,3,0)*0.475*44/12</f>
        <v>0</v>
      </c>
      <c r="EB12" s="23">
        <f>EXP(-LN(2)/25)*EB11+(1-EXP(-LN(2)/25))/(LN(2)/25)*Calculateur!DW12*Calculateur!DY12*VLOOKUP('Données projet'!$B$14,Paramètres!$A$1:$I$89,3,0)*0.475*44/12</f>
        <v>0</v>
      </c>
      <c r="EC12" s="23">
        <f>EXP(-LN(2)/2)*EC11+(1-EXP(-LN(2)/2))/(LN(2)/2)*DW12*DZ12*VLOOKUP('Données projet'!$B$14,Paramètres!$A$1:$I$89,3,0)*0.475*44/12</f>
        <v>0</v>
      </c>
      <c r="ED12" s="24">
        <f t="shared" si="18"/>
        <v>0</v>
      </c>
      <c r="EE12" s="77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2.6666666666666665</v>
      </c>
      <c r="EJ12" s="13">
        <f>IF('Données projet'!$A$192&gt;35,EJ11+EI12-ER11,IF(A12&lt;'Données projet'!$A$192,$EG$205^A12,IF(A12='Données projet'!$A$192,'Données projet'!$B$192,EJ11+EI12-ER11)))</f>
        <v>9.1461010385465205</v>
      </c>
      <c r="EK12" s="18">
        <f>EJ12*VLOOKUP('Données projet'!$B$15,Paramètres!$A$1:$I$89,3,0)*VLOOKUP('Données projet'!$B$15,Paramètres!$A$1:$I$89,5,0)</f>
        <v>7.1339588100662858</v>
      </c>
      <c r="EL12" s="14">
        <f t="shared" si="45"/>
        <v>2.6155015444227643</v>
      </c>
      <c r="EM12" s="22">
        <f t="shared" si="19"/>
        <v>16.980310117401761</v>
      </c>
      <c r="EN12" s="60">
        <f t="shared" si="20"/>
        <v>284.64697678406844</v>
      </c>
      <c r="EO12" s="60">
        <f ca="1">AVERAGE(OFFSET($EN$3,0,0,'Données projet'!$E$15+1,1))-AVERAGE(OFFSET($H$3,0,0,'Données projet'!$E$15+1,1))</f>
        <v>292.57482726862594</v>
      </c>
      <c r="EP12" s="60">
        <f t="shared" si="46"/>
        <v>283.48738729114024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>
        <f>EXP(-LN(2)/35)*EV11+(1-EXP(-LN(2)/35))/(LN(2)/35)*ER12*ES12*VLOOKUP('Données projet'!$B$15,Paramètres!$A$1:$I$89,3,0)*0.475*44/12</f>
        <v>0</v>
      </c>
      <c r="EW12" s="23">
        <f>EXP(-LN(2)/25)*EW11+(1-EXP(-LN(2)/25))/(LN(2)/25)*Calculateur!ER12*Calculateur!ET12*VLOOKUP('Données projet'!$B$15,Paramètres!$A$1:$I$89,3,0)*0.475*44/12</f>
        <v>0</v>
      </c>
      <c r="EX12" s="23">
        <f>EXP(-LN(2)/2)*EX11+(1-EXP(-LN(2)/2))/(LN(2)/2)*ER12*EU12*VLOOKUP('Données projet'!$B$15,Paramètres!$A$1:$I$89,3,0)*0.475*44/12</f>
        <v>0</v>
      </c>
      <c r="EY12" s="24">
        <f t="shared" si="21"/>
        <v>0</v>
      </c>
      <c r="EZ12" s="77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0" t="e">
        <f t="shared" si="23"/>
        <v>#N/A</v>
      </c>
      <c r="FJ12" s="60" t="e">
        <f ca="1">AVERAGE(OFFSET($FI$3,0,0,'Données projet'!$E$16+1,1))-AVERAGE(OFFSET($H$3,0,0,'Données projet'!$E$16+1,1))</f>
        <v>#N/A</v>
      </c>
      <c r="FK12" s="60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77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0" t="e">
        <f t="shared" si="26"/>
        <v>#N/A</v>
      </c>
      <c r="GE12" s="60" t="e">
        <f ca="1">AVERAGE(OFFSET($GD$3,0,0,'Données projet'!$E$17+1,1))-AVERAGE(OFFSET($H$3,0,0,'Données projet'!$E$17+1,1))</f>
        <v>#N/A</v>
      </c>
      <c r="GF12" s="60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77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0" t="e">
        <f t="shared" si="29"/>
        <v>#N/A</v>
      </c>
      <c r="GZ12" s="60" t="e">
        <f ca="1">AVERAGE(OFFSET($GY$3,0,0,'Données projet'!$E$18+1,1))-AVERAGE(OFFSET($H$3,0,0,'Données projet'!$E$18+1,1))</f>
        <v>#N/A</v>
      </c>
      <c r="HA12" s="60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25">
      <c r="A13" s="11">
        <f t="shared" si="31"/>
        <v>10</v>
      </c>
      <c r="B13" s="74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2">
        <f t="shared" si="32"/>
        <v>0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0</v>
      </c>
      <c r="H13" s="67">
        <f t="shared" si="1"/>
        <v>256.66666666666669</v>
      </c>
      <c r="I13" s="7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3.1623931623931623</v>
      </c>
      <c r="N13" s="14">
        <f>IF('Données projet'!$A$36&gt;35,N12+M13-V12,IF(A13&lt;'Données projet'!$A$36,$K$205^A13,IF(A13='Données projet'!$A$36,'Données projet'!$B$36,N12+M13-V12)))</f>
        <v>13.104026044458736</v>
      </c>
      <c r="O13" s="14">
        <f>N13*VLOOKUP('Données projet'!$B$9,Paramètres!$A$1:$I$89,3,0)*VLOOKUP('Données projet'!$B$9,Paramètres!$A$1:$I$89,5,0)</f>
        <v>12.469791183906933</v>
      </c>
      <c r="P13" s="14">
        <f t="shared" si="33"/>
        <v>4.2840372377664062</v>
      </c>
      <c r="Q13" s="22">
        <f t="shared" si="2"/>
        <v>29.179584501081067</v>
      </c>
      <c r="R13" s="60">
        <f t="shared" si="0"/>
        <v>298.06847338996994</v>
      </c>
      <c r="S13" s="60">
        <f ca="1">AVERAGE(OFFSET($R$3,0,0,'Données projet'!$E$9+1,1))-AVERAGE(OFFSET($H$3,0,0,'Données projet'!$E$9+1,1))</f>
        <v>403.49781966317852</v>
      </c>
      <c r="T13" s="60">
        <f t="shared" si="34"/>
        <v>326.06674572505409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0.6</v>
      </c>
      <c r="AI13" s="14">
        <f>IF('Données projet'!$A$62&gt;35,AI12+AH13-AQ12,IF(A13&lt;'Données projet'!$A$62,$AF$205^A13,IF(A13='Données projet'!$A$62,'Données projet'!$B$62,AI12+AH13-AQ12)))</f>
        <v>4.3267487109222253</v>
      </c>
      <c r="AJ13" s="14">
        <f>AI13*VLOOKUP('Données projet'!$B$10,Paramètres!$A$1:$I$89,3,0)*VLOOKUP('Données projet'!$B$10,Paramètres!$A$1:$I$89,5,0)</f>
        <v>3.7798476738616569</v>
      </c>
      <c r="AK13" s="14">
        <f t="shared" si="35"/>
        <v>1.4921358157334794</v>
      </c>
      <c r="AL13" s="22">
        <f t="shared" si="4"/>
        <v>9.182037911044862</v>
      </c>
      <c r="AM13" s="60">
        <f t="shared" si="5"/>
        <v>278.07092679993372</v>
      </c>
      <c r="AN13" s="60">
        <f ca="1">AVERAGE(OFFSET($AM$3,0,0,'Données projet'!$E$10+1,1))-AVERAGE(OFFSET($H$3,0,0,'Données projet'!$E$10+1,1))</f>
        <v>274.66236526869056</v>
      </c>
      <c r="AO13" s="60">
        <f t="shared" si="36"/>
        <v>256.90876395053073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>
        <f>EXP(-LN(2)/35)*AU12+(1-EXP(-LN(2)/35))/(LN(2)/35)*AQ13*AR13*VLOOKUP('Données projet'!$B$10,Paramètres!$A$1:$I$89,3,0)*0.475*44/12</f>
        <v>0</v>
      </c>
      <c r="AV13" s="23">
        <f>EXP(-LN(2)/25)*AV12+(1-EXP(-LN(2)/25))/(LN(2)/25)*Calculateur!AQ13*Calculateur!AS13*VLOOKUP('Données projet'!$B$10,Paramètres!$A$1:$I$89,3,0)*0.475*44/12</f>
        <v>0</v>
      </c>
      <c r="AW13" s="23">
        <f>EXP(-LN(2)/2)*AW12+(1-EXP(-LN(2)/2))/(LN(2)/2)*AQ13*AT13*VLOOKUP('Données projet'!$B$10,Paramètres!$A$1:$I$89,3,0)*0.475*44/12</f>
        <v>0</v>
      </c>
      <c r="AX13" s="23">
        <f t="shared" si="6"/>
        <v>0</v>
      </c>
      <c r="AY13" s="76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3.65</v>
      </c>
      <c r="BD13" s="13">
        <f>IF('Données projet'!$A$88&gt;35,BD12+BC13-BL12,IF(A13&lt;'Données projet'!$A$88,$BA$205^A13,IF(A13='Données projet'!$A$88,'Données projet'!$B$88,BD12+BC13-BL12)))</f>
        <v>8.5440037453175322</v>
      </c>
      <c r="BE13" s="14">
        <f>BD13*VLOOKUP('Données projet'!$B$11,Paramètres!$A$1:$I$89,3,0)*VLOOKUP('Données projet'!$B$11,Paramètres!$A$1:$I$89,5,0)</f>
        <v>7.7306145887633031</v>
      </c>
      <c r="BF13" s="14">
        <f t="shared" si="37"/>
        <v>2.8078763226288115</v>
      </c>
      <c r="BG13" s="22">
        <f t="shared" si="7"/>
        <v>18.354538337341264</v>
      </c>
      <c r="BH13" s="60">
        <f t="shared" si="8"/>
        <v>287.2434272262301</v>
      </c>
      <c r="BI13" s="60">
        <f ca="1">AVERAGE(OFFSET($BH$3,0,0,'Données projet'!$E$11+1,1))-AVERAGE(OFFSET($H$3,0,0,'Données projet'!$E$11+1,1))</f>
        <v>529.25712986118265</v>
      </c>
      <c r="BJ13" s="60">
        <f t="shared" si="38"/>
        <v>278.21741231699929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>
        <f>EXP(-LN(2)/35)*BP12+(1-EXP(-LN(2)/35))/(LN(2)/35)*BL13*BM13*VLOOKUP('Données projet'!$B$11,Paramètres!$A$1:$I$89,3,0)*0.475*44/12</f>
        <v>0</v>
      </c>
      <c r="BQ13" s="23">
        <f>EXP(-LN(2)/25)*BQ12+(1-EXP(-LN(2)/25))/(LN(2)/25)*Calculateur!BL13*Calculateur!BN13*VLOOKUP('Données projet'!$B$11,Paramètres!$A$1:$I$89,3,0)*0.475*44/12</f>
        <v>0</v>
      </c>
      <c r="BR13" s="23">
        <f>EXP(-LN(2)/2)*BR12+(1-EXP(-LN(2)/2))/(LN(2)/2)*BL13*BO13*VLOOKUP('Données projet'!$B$11,Paramètres!$A$1:$I$89,3,0)*0.475*44/12</f>
        <v>0</v>
      </c>
      <c r="BS13" s="24">
        <f t="shared" si="9"/>
        <v>0</v>
      </c>
      <c r="BT13" s="77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3.65</v>
      </c>
      <c r="BY13" s="13">
        <f>IF('Données projet'!$A$114&gt;35,BY12+BX13-CG12,IF(A13&lt;'Données projet'!$A$114,$BV$205^A13,IF(A13='Données projet'!$A$114,'Données projet'!$B$114,BY12+BX13-CG12)))</f>
        <v>8.5440037453175322</v>
      </c>
      <c r="BZ13" s="14">
        <f>BY13*VLOOKUP('Données projet'!$B$12,Paramètres!$A$1:$I$89,3,0)*VLOOKUP('Données projet'!$B$12,Paramètres!$A$1:$I$89,5,0)</f>
        <v>8.6636197977519771</v>
      </c>
      <c r="CA13" s="14">
        <f t="shared" si="39"/>
        <v>3.1052976990698267</v>
      </c>
      <c r="CB13" s="22">
        <f t="shared" si="10"/>
        <v>20.497531306964643</v>
      </c>
      <c r="CC13" s="60">
        <f t="shared" si="11"/>
        <v>289.38642019585347</v>
      </c>
      <c r="CD13" s="60">
        <f ca="1">AVERAGE(OFFSET($CC$3,0,0,'Données projet'!$E$12+1,1))-AVERAGE(OFFSET($H$3,0,0,'Données projet'!$E$12+1,1))</f>
        <v>587.74247372331615</v>
      </c>
      <c r="CE13" s="60">
        <f t="shared" si="40"/>
        <v>306.61893266146666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>
        <f>EXP(-LN(2)/35)*CK12+(1-EXP(-LN(2)/35))/(LN(2)/35)*CG13*CH13*VLOOKUP('Données projet'!$B$12,Paramètres!$A$1:$I$89,3,0)*0.475*44/12</f>
        <v>0</v>
      </c>
      <c r="CL13" s="23">
        <f>EXP(-LN(2)/25)*CL12+(1-EXP(-LN(2)/25))/(LN(2)/25)*Calculateur!CG13*Calculateur!CI13*VLOOKUP('Données projet'!$B$12,Paramètres!$A$1:$I$89,3,0)*0.475*44/12</f>
        <v>0</v>
      </c>
      <c r="CM13" s="23">
        <f>EXP(-LN(2)/2)*CM12+(1-EXP(-LN(2)/2))/(LN(2)/2)*CG13*CJ13*VLOOKUP('Données projet'!$B$12,Paramètres!$A$1:$I$89,3,0)*0.475*44/12</f>
        <v>0</v>
      </c>
      <c r="CN13" s="24">
        <f t="shared" si="12"/>
        <v>0</v>
      </c>
      <c r="CO13" s="77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3.65</v>
      </c>
      <c r="CT13" s="13">
        <f>IF('Données projet'!$A$140&gt;35,CT12+CS13-DB12,IF(A13&lt;'Données projet'!$A$140,$CQ$205^A13,IF(A13='Données projet'!$A$140,'Données projet'!$B$140,CT12+CS13-DB12)))</f>
        <v>8.5440037453175322</v>
      </c>
      <c r="CU13" s="18">
        <f>CT13*VLOOKUP('Données projet'!$B$13,Paramètres!$A$1:$I$89,3,0)*VLOOKUP('Données projet'!$B$13,Paramètres!$A$1:$I$89,5,0)</f>
        <v>9.1967656314597903</v>
      </c>
      <c r="CV13" s="14">
        <f t="shared" si="41"/>
        <v>3.2735581214758165</v>
      </c>
      <c r="CW13" s="22">
        <f t="shared" si="13"/>
        <v>21.719147203029511</v>
      </c>
      <c r="CX13" s="60">
        <f t="shared" si="14"/>
        <v>290.60803609191839</v>
      </c>
      <c r="CY13" s="60">
        <f ca="1">AVERAGE(OFFSET($CX$3,0,0,'Données projet'!$E$13+1,1))-AVERAGE(OFFSET($H$3,0,0,'Données projet'!$E$13+1,1))</f>
        <v>621.10465023992288</v>
      </c>
      <c r="CZ13" s="60">
        <f t="shared" si="42"/>
        <v>322.81767004794284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>
        <f>EXP(-LN(2)/35)*DF12+(1-EXP(-LN(2)/35))/(LN(2)/35)*DB13*DC13*VLOOKUP('Données projet'!$B$13,Paramètres!$A$1:$I$89,3,0)*0.475*44/12</f>
        <v>0</v>
      </c>
      <c r="DG13" s="23">
        <f>EXP(-LN(2)/25)*DG12+(1-EXP(-LN(2)/25))/(LN(2)/25)*Calculateur!DB13*Calculateur!DD13*VLOOKUP('Données projet'!$B$13,Paramètres!$A$1:$I$89,3,0)*0.475*44/12</f>
        <v>0</v>
      </c>
      <c r="DH13" s="23">
        <f>EXP(-LN(2)/2)*DH12+(1-EXP(-LN(2)/2))/(LN(2)/2)*DB13*DE13*VLOOKUP('Données projet'!$B$13,Paramètres!$A$1:$I$89,3,0)*0.475*44/12</f>
        <v>0</v>
      </c>
      <c r="DI13" s="24">
        <f t="shared" si="15"/>
        <v>0</v>
      </c>
      <c r="DJ13" s="77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3.65</v>
      </c>
      <c r="DO13" s="13">
        <f>IF('Données projet'!$A$166&gt;35,DO12+DN13-DW12,IF(A13&lt;'Données projet'!$A$166,$DL$205^A13,IF(A13='Données projet'!$A$166,'Données projet'!$B$166,DO12+DN13-DW12)))</f>
        <v>8.5440037453175322</v>
      </c>
      <c r="DP13" s="18">
        <f>DO13*VLOOKUP('Données projet'!$B$14,Paramètres!$A$1:$I$89,3,0)*VLOOKUP('Données projet'!$B$14,Paramètres!$A$1:$I$89,5,0)</f>
        <v>8.2637604224711172</v>
      </c>
      <c r="DQ13" s="14">
        <f t="shared" si="43"/>
        <v>2.9783127206856603</v>
      </c>
      <c r="DR13" s="22">
        <f t="shared" si="16"/>
        <v>19.579944057664719</v>
      </c>
      <c r="DS13" s="60">
        <f t="shared" si="17"/>
        <v>288.46883294655356</v>
      </c>
      <c r="DT13" s="60">
        <f ca="1">AVERAGE(OFFSET($DS$3,0,0,'Données projet'!$E$14+1,1))-AVERAGE(OFFSET($H$3,0,0,'Données projet'!$E$14+1,1))</f>
        <v>562.69380557620775</v>
      </c>
      <c r="DU13" s="60">
        <f t="shared" si="44"/>
        <v>294.45557293177131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>
        <f>EXP(-LN(2)/35)*EA12+(1-EXP(-LN(2)/35))/(LN(2)/35)*DW13*DX13*VLOOKUP('Données projet'!$B$14,Paramètres!$A$1:$I$89,3,0)*0.475*44/12</f>
        <v>0</v>
      </c>
      <c r="EB13" s="23">
        <f>EXP(-LN(2)/25)*EB12+(1-EXP(-LN(2)/25))/(LN(2)/25)*Calculateur!DW13*Calculateur!DY13*VLOOKUP('Données projet'!$B$14,Paramètres!$A$1:$I$89,3,0)*0.475*44/12</f>
        <v>0</v>
      </c>
      <c r="EC13" s="23">
        <f>EXP(-LN(2)/2)*EC12+(1-EXP(-LN(2)/2))/(LN(2)/2)*DW13*DZ13*VLOOKUP('Données projet'!$B$14,Paramètres!$A$1:$I$89,3,0)*0.475*44/12</f>
        <v>0</v>
      </c>
      <c r="ED13" s="24">
        <f t="shared" si="18"/>
        <v>0</v>
      </c>
      <c r="EE13" s="77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2.6666666666666665</v>
      </c>
      <c r="EJ13" s="13">
        <f>IF('Données projet'!$A$192&gt;35,EJ12+EI13-ER12,IF(A13&lt;'Données projet'!$A$192,$EG$205^A13,IF(A13='Données projet'!$A$192,'Données projet'!$B$192,EJ12+EI13-ER12)))</f>
        <v>11.696070952851455</v>
      </c>
      <c r="EK13" s="18">
        <f>EJ13*VLOOKUP('Données projet'!$B$15,Paramètres!$A$1:$I$89,3,0)*VLOOKUP('Données projet'!$B$15,Paramètres!$A$1:$I$89,5,0)</f>
        <v>9.1229353432241354</v>
      </c>
      <c r="EL13" s="14">
        <f t="shared" si="45"/>
        <v>3.2503265450485803</v>
      </c>
      <c r="EM13" s="22">
        <f t="shared" si="19"/>
        <v>21.550097788741649</v>
      </c>
      <c r="EN13" s="60">
        <f t="shared" si="20"/>
        <v>290.43898667763051</v>
      </c>
      <c r="EO13" s="60">
        <f ca="1">AVERAGE(OFFSET($EN$3,0,0,'Données projet'!$E$15+1,1))-AVERAGE(OFFSET($H$3,0,0,'Données projet'!$E$15+1,1))</f>
        <v>292.57482726862594</v>
      </c>
      <c r="EP13" s="60">
        <f t="shared" si="46"/>
        <v>283.48738729114024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>
        <f>EXP(-LN(2)/35)*EV12+(1-EXP(-LN(2)/35))/(LN(2)/35)*ER13*ES13*VLOOKUP('Données projet'!$B$15,Paramètres!$A$1:$I$89,3,0)*0.475*44/12</f>
        <v>0</v>
      </c>
      <c r="EW13" s="23">
        <f>EXP(-LN(2)/25)*EW12+(1-EXP(-LN(2)/25))/(LN(2)/25)*Calculateur!ER13*Calculateur!ET13*VLOOKUP('Données projet'!$B$15,Paramètres!$A$1:$I$89,3,0)*0.475*44/12</f>
        <v>0</v>
      </c>
      <c r="EX13" s="23">
        <f>EXP(-LN(2)/2)*EX12+(1-EXP(-LN(2)/2))/(LN(2)/2)*ER13*EU13*VLOOKUP('Données projet'!$B$15,Paramètres!$A$1:$I$89,3,0)*0.475*44/12</f>
        <v>0</v>
      </c>
      <c r="EY13" s="24">
        <f t="shared" si="21"/>
        <v>0</v>
      </c>
      <c r="EZ13" s="77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0" t="e">
        <f t="shared" si="23"/>
        <v>#N/A</v>
      </c>
      <c r="FJ13" s="60" t="e">
        <f ca="1">AVERAGE(OFFSET($FI$3,0,0,'Données projet'!$E$16+1,1))-AVERAGE(OFFSET($H$3,0,0,'Données projet'!$E$16+1,1))</f>
        <v>#N/A</v>
      </c>
      <c r="FK13" s="60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77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0" t="e">
        <f t="shared" si="26"/>
        <v>#N/A</v>
      </c>
      <c r="GE13" s="60" t="e">
        <f ca="1">AVERAGE(OFFSET($GD$3,0,0,'Données projet'!$E$17+1,1))-AVERAGE(OFFSET($H$3,0,0,'Données projet'!$E$17+1,1))</f>
        <v>#N/A</v>
      </c>
      <c r="GF13" s="60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77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0" t="e">
        <f t="shared" si="29"/>
        <v>#N/A</v>
      </c>
      <c r="GZ13" s="60" t="e">
        <f ca="1">AVERAGE(OFFSET($GY$3,0,0,'Données projet'!$E$18+1,1))-AVERAGE(OFFSET($H$3,0,0,'Données projet'!$E$18+1,1))</f>
        <v>#N/A</v>
      </c>
      <c r="HA13" s="60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25">
      <c r="A14" s="11">
        <f t="shared" si="31"/>
        <v>11</v>
      </c>
      <c r="B14" s="74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2">
        <f t="shared" si="32"/>
        <v>0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0</v>
      </c>
      <c r="H14" s="67">
        <f t="shared" si="1"/>
        <v>256.66666666666669</v>
      </c>
      <c r="I14" s="7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3.1623931623931623</v>
      </c>
      <c r="N14" s="14">
        <f>IF('Données projet'!$A$36&gt;35,N13+M14-V13,IF(A14&lt;'Données projet'!$A$36,$K$205^A14,IF(A14='Données projet'!$A$36,'Données projet'!$B$36,N13+M14-V13)))</f>
        <v>16.949044593816883</v>
      </c>
      <c r="O14" s="14">
        <f>N14*VLOOKUP('Données projet'!$B$9,Paramètres!$A$1:$I$89,3,0)*VLOOKUP('Données projet'!$B$9,Paramètres!$A$1:$I$89,5,0)</f>
        <v>16.128710835476145</v>
      </c>
      <c r="P14" s="14">
        <f t="shared" si="33"/>
        <v>5.3775829807869533</v>
      </c>
      <c r="Q14" s="22">
        <f t="shared" si="2"/>
        <v>37.456795063324897</v>
      </c>
      <c r="R14" s="60">
        <f t="shared" si="0"/>
        <v>307.56790617443602</v>
      </c>
      <c r="S14" s="60">
        <f ca="1">AVERAGE(OFFSET($R$3,0,0,'Données projet'!$E$9+1,1))-AVERAGE(OFFSET($H$3,0,0,'Données projet'!$E$9+1,1))</f>
        <v>403.49781966317852</v>
      </c>
      <c r="T14" s="60">
        <f t="shared" si="34"/>
        <v>326.06674572505409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0.6</v>
      </c>
      <c r="AI14" s="14">
        <f>IF('Données projet'!$A$62&gt;35,AI13+AH14-AQ13,IF(A14&lt;'Données projet'!$A$62,$AF$205^A14,IF(A14='Données projet'!$A$62,'Données projet'!$B$62,AI13+AH14-AQ13)))</f>
        <v>5.0093092101266317</v>
      </c>
      <c r="AJ14" s="14">
        <f>AI14*VLOOKUP('Données projet'!$B$10,Paramètres!$A$1:$I$89,3,0)*VLOOKUP('Données projet'!$B$10,Paramètres!$A$1:$I$89,5,0)</f>
        <v>4.3761325259666259</v>
      </c>
      <c r="AK14" s="14">
        <f t="shared" si="35"/>
        <v>1.69832029818762</v>
      </c>
      <c r="AL14" s="22">
        <f t="shared" si="4"/>
        <v>10.579672002068646</v>
      </c>
      <c r="AM14" s="60">
        <f t="shared" si="5"/>
        <v>280.6907831131798</v>
      </c>
      <c r="AN14" s="60">
        <f ca="1">AVERAGE(OFFSET($AM$3,0,0,'Données projet'!$E$10+1,1))-AVERAGE(OFFSET($H$3,0,0,'Données projet'!$E$10+1,1))</f>
        <v>274.66236526869056</v>
      </c>
      <c r="AO14" s="60">
        <f t="shared" si="36"/>
        <v>256.90876395053073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>
        <f>EXP(-LN(2)/35)*AU13+(1-EXP(-LN(2)/35))/(LN(2)/35)*AQ14*AR14*VLOOKUP('Données projet'!$B$10,Paramètres!$A$1:$I$89,3,0)*0.475*44/12</f>
        <v>0</v>
      </c>
      <c r="AV14" s="23">
        <f>EXP(-LN(2)/25)*AV13+(1-EXP(-LN(2)/25))/(LN(2)/25)*Calculateur!AQ14*Calculateur!AS14*VLOOKUP('Données projet'!$B$10,Paramètres!$A$1:$I$89,3,0)*0.475*44/12</f>
        <v>0</v>
      </c>
      <c r="AW14" s="23">
        <f>EXP(-LN(2)/2)*AW13+(1-EXP(-LN(2)/2))/(LN(2)/2)*AQ14*AT14*VLOOKUP('Données projet'!$B$10,Paramètres!$A$1:$I$89,3,0)*0.475*44/12</f>
        <v>0</v>
      </c>
      <c r="AX14" s="23">
        <f t="shared" si="6"/>
        <v>0</v>
      </c>
      <c r="AY14" s="76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3.65</v>
      </c>
      <c r="BD14" s="13">
        <f>IF('Données projet'!$A$88&gt;35,BD13+BC14-BL13,IF(A14&lt;'Données projet'!$A$88,$BA$205^A14,IF(A14='Données projet'!$A$88,'Données projet'!$B$88,BD13+BC14-BL13)))</f>
        <v>10.588332555950936</v>
      </c>
      <c r="BE14" s="14">
        <f>BD14*VLOOKUP('Données projet'!$B$11,Paramètres!$A$1:$I$89,3,0)*VLOOKUP('Données projet'!$B$11,Paramètres!$A$1:$I$89,5,0)</f>
        <v>9.5803232966244067</v>
      </c>
      <c r="BF14" s="14">
        <f t="shared" si="37"/>
        <v>3.3939041949894282</v>
      </c>
      <c r="BG14" s="22">
        <f t="shared" si="7"/>
        <v>22.596779547894098</v>
      </c>
      <c r="BH14" s="60">
        <f t="shared" si="8"/>
        <v>292.70789065900522</v>
      </c>
      <c r="BI14" s="60">
        <f ca="1">AVERAGE(OFFSET($BH$3,0,0,'Données projet'!$E$11+1,1))-AVERAGE(OFFSET($H$3,0,0,'Données projet'!$E$11+1,1))</f>
        <v>529.25712986118265</v>
      </c>
      <c r="BJ14" s="60">
        <f t="shared" si="38"/>
        <v>278.21741231699929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>
        <f>EXP(-LN(2)/35)*BP13+(1-EXP(-LN(2)/35))/(LN(2)/35)*BL14*BM14*VLOOKUP('Données projet'!$B$11,Paramètres!$A$1:$I$89,3,0)*0.475*44/12</f>
        <v>0</v>
      </c>
      <c r="BQ14" s="23">
        <f>EXP(-LN(2)/25)*BQ13+(1-EXP(-LN(2)/25))/(LN(2)/25)*Calculateur!BL14*Calculateur!BN14*VLOOKUP('Données projet'!$B$11,Paramètres!$A$1:$I$89,3,0)*0.475*44/12</f>
        <v>0</v>
      </c>
      <c r="BR14" s="23">
        <f>EXP(-LN(2)/2)*BR13+(1-EXP(-LN(2)/2))/(LN(2)/2)*BL14*BO14*VLOOKUP('Données projet'!$B$11,Paramètres!$A$1:$I$89,3,0)*0.475*44/12</f>
        <v>0</v>
      </c>
      <c r="BS14" s="24">
        <f t="shared" si="9"/>
        <v>0</v>
      </c>
      <c r="BT14" s="77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3.65</v>
      </c>
      <c r="BY14" s="13">
        <f>IF('Données projet'!$A$114&gt;35,BY13+BX14-CG13,IF(A14&lt;'Données projet'!$A$114,$BV$205^A14,IF(A14='Données projet'!$A$114,'Données projet'!$B$114,BY13+BX14-CG13)))</f>
        <v>10.588332555950936</v>
      </c>
      <c r="BZ14" s="14">
        <f>BY14*VLOOKUP('Données projet'!$B$12,Paramètres!$A$1:$I$89,3,0)*VLOOKUP('Données projet'!$B$12,Paramètres!$A$1:$I$89,5,0)</f>
        <v>10.736569211734251</v>
      </c>
      <c r="CA14" s="14">
        <f t="shared" si="39"/>
        <v>3.7533999637480915</v>
      </c>
      <c r="CB14" s="22">
        <f t="shared" si="10"/>
        <v>25.23669631396508</v>
      </c>
      <c r="CC14" s="60">
        <f t="shared" si="11"/>
        <v>295.34780742507621</v>
      </c>
      <c r="CD14" s="60">
        <f ca="1">AVERAGE(OFFSET($CC$3,0,0,'Données projet'!$E$12+1,1))-AVERAGE(OFFSET($H$3,0,0,'Données projet'!$E$12+1,1))</f>
        <v>587.74247372331615</v>
      </c>
      <c r="CE14" s="60">
        <f t="shared" si="40"/>
        <v>306.61893266146666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>
        <f>EXP(-LN(2)/35)*CK13+(1-EXP(-LN(2)/35))/(LN(2)/35)*CG14*CH14*VLOOKUP('Données projet'!$B$12,Paramètres!$A$1:$I$89,3,0)*0.475*44/12</f>
        <v>0</v>
      </c>
      <c r="CL14" s="23">
        <f>EXP(-LN(2)/25)*CL13+(1-EXP(-LN(2)/25))/(LN(2)/25)*Calculateur!CG14*Calculateur!CI14*VLOOKUP('Données projet'!$B$12,Paramètres!$A$1:$I$89,3,0)*0.475*44/12</f>
        <v>0</v>
      </c>
      <c r="CM14" s="23">
        <f>EXP(-LN(2)/2)*CM13+(1-EXP(-LN(2)/2))/(LN(2)/2)*CG14*CJ14*VLOOKUP('Données projet'!$B$12,Paramètres!$A$1:$I$89,3,0)*0.475*44/12</f>
        <v>0</v>
      </c>
      <c r="CN14" s="24">
        <f t="shared" si="12"/>
        <v>0</v>
      </c>
      <c r="CO14" s="77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3.65</v>
      </c>
      <c r="CT14" s="13">
        <f>IF('Données projet'!$A$140&gt;35,CT13+CS14-DB13,IF(A14&lt;'Données projet'!$A$140,$CQ$205^A14,IF(A14='Données projet'!$A$140,'Données projet'!$B$140,CT13+CS14-DB13)))</f>
        <v>10.588332555950936</v>
      </c>
      <c r="CU14" s="18">
        <f>CT14*VLOOKUP('Données projet'!$B$13,Paramètres!$A$1:$I$89,3,0)*VLOOKUP('Données projet'!$B$13,Paramètres!$A$1:$I$89,5,0)</f>
        <v>11.397281163225587</v>
      </c>
      <c r="CV14" s="14">
        <f t="shared" si="41"/>
        <v>3.9567777795201704</v>
      </c>
      <c r="CW14" s="22">
        <f t="shared" si="13"/>
        <v>26.741652658615525</v>
      </c>
      <c r="CX14" s="60">
        <f t="shared" si="14"/>
        <v>296.85276376972666</v>
      </c>
      <c r="CY14" s="60">
        <f ca="1">AVERAGE(OFFSET($CX$3,0,0,'Données projet'!$E$13+1,1))-AVERAGE(OFFSET($H$3,0,0,'Données projet'!$E$13+1,1))</f>
        <v>621.10465023992288</v>
      </c>
      <c r="CZ14" s="60">
        <f t="shared" si="42"/>
        <v>322.81767004794284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>
        <f>EXP(-LN(2)/35)*DF13+(1-EXP(-LN(2)/35))/(LN(2)/35)*DB14*DC14*VLOOKUP('Données projet'!$B$13,Paramètres!$A$1:$I$89,3,0)*0.475*44/12</f>
        <v>0</v>
      </c>
      <c r="DG14" s="23">
        <f>EXP(-LN(2)/25)*DG13+(1-EXP(-LN(2)/25))/(LN(2)/25)*Calculateur!DB14*Calculateur!DD14*VLOOKUP('Données projet'!$B$13,Paramètres!$A$1:$I$89,3,0)*0.475*44/12</f>
        <v>0</v>
      </c>
      <c r="DH14" s="23">
        <f>EXP(-LN(2)/2)*DH13+(1-EXP(-LN(2)/2))/(LN(2)/2)*DB14*DE14*VLOOKUP('Données projet'!$B$13,Paramètres!$A$1:$I$89,3,0)*0.475*44/12</f>
        <v>0</v>
      </c>
      <c r="DI14" s="24">
        <f t="shared" si="15"/>
        <v>0</v>
      </c>
      <c r="DJ14" s="77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3.65</v>
      </c>
      <c r="DO14" s="13">
        <f>IF('Données projet'!$A$166&gt;35,DO13+DN14-DW13,IF(A14&lt;'Données projet'!$A$166,$DL$205^A14,IF(A14='Données projet'!$A$166,'Données projet'!$B$166,DO13+DN14-DW13)))</f>
        <v>10.588332555950936</v>
      </c>
      <c r="DP14" s="18">
        <f>DO14*VLOOKUP('Données projet'!$B$14,Paramètres!$A$1:$I$89,3,0)*VLOOKUP('Données projet'!$B$14,Paramètres!$A$1:$I$89,5,0)</f>
        <v>10.241035248115747</v>
      </c>
      <c r="DQ14" s="14">
        <f t="shared" si="43"/>
        <v>3.5999121311945652</v>
      </c>
      <c r="DR14" s="22">
        <f t="shared" si="16"/>
        <v>24.106316685632123</v>
      </c>
      <c r="DS14" s="60">
        <f t="shared" si="17"/>
        <v>294.21742779674327</v>
      </c>
      <c r="DT14" s="60">
        <f ca="1">AVERAGE(OFFSET($DS$3,0,0,'Données projet'!$E$14+1,1))-AVERAGE(OFFSET($H$3,0,0,'Données projet'!$E$14+1,1))</f>
        <v>562.69380557620775</v>
      </c>
      <c r="DU14" s="60">
        <f t="shared" si="44"/>
        <v>294.45557293177131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>
        <f>EXP(-LN(2)/35)*EA13+(1-EXP(-LN(2)/35))/(LN(2)/35)*DW14*DX14*VLOOKUP('Données projet'!$B$14,Paramètres!$A$1:$I$89,3,0)*0.475*44/12</f>
        <v>0</v>
      </c>
      <c r="EB14" s="23">
        <f>EXP(-LN(2)/25)*EB13+(1-EXP(-LN(2)/25))/(LN(2)/25)*Calculateur!DW14*Calculateur!DY14*VLOOKUP('Données projet'!$B$14,Paramètres!$A$1:$I$89,3,0)*0.475*44/12</f>
        <v>0</v>
      </c>
      <c r="EC14" s="23">
        <f>EXP(-LN(2)/2)*EC13+(1-EXP(-LN(2)/2))/(LN(2)/2)*DW14*DZ14*VLOOKUP('Données projet'!$B$14,Paramètres!$A$1:$I$89,3,0)*0.475*44/12</f>
        <v>0</v>
      </c>
      <c r="ED14" s="24">
        <f t="shared" si="18"/>
        <v>0</v>
      </c>
      <c r="EE14" s="77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2.6666666666666665</v>
      </c>
      <c r="EJ14" s="13">
        <f>IF('Données projet'!$A$192&gt;35,EJ13+EI14-ER13,IF(A14&lt;'Données projet'!$A$192,$EG$205^A14,IF(A14='Données projet'!$A$192,'Données projet'!$B$192,EJ13+EI14-ER13)))</f>
        <v>14.956982779612416</v>
      </c>
      <c r="EK14" s="18">
        <f>EJ14*VLOOKUP('Données projet'!$B$15,Paramètres!$A$1:$I$89,3,0)*VLOOKUP('Données projet'!$B$15,Paramètres!$A$1:$I$89,5,0)</f>
        <v>11.666446568097685</v>
      </c>
      <c r="EL14" s="14">
        <f t="shared" si="45"/>
        <v>4.0392339557111736</v>
      </c>
      <c r="EM14" s="22">
        <f t="shared" si="19"/>
        <v>27.354060245633761</v>
      </c>
      <c r="EN14" s="60">
        <f t="shared" si="20"/>
        <v>297.46517135674492</v>
      </c>
      <c r="EO14" s="60">
        <f ca="1">AVERAGE(OFFSET($EN$3,0,0,'Données projet'!$E$15+1,1))-AVERAGE(OFFSET($H$3,0,0,'Données projet'!$E$15+1,1))</f>
        <v>292.57482726862594</v>
      </c>
      <c r="EP14" s="60">
        <f t="shared" si="46"/>
        <v>283.48738729114024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>
        <f>EXP(-LN(2)/35)*EV13+(1-EXP(-LN(2)/35))/(LN(2)/35)*ER14*ES14*VLOOKUP('Données projet'!$B$15,Paramètres!$A$1:$I$89,3,0)*0.475*44/12</f>
        <v>0</v>
      </c>
      <c r="EW14" s="23">
        <f>EXP(-LN(2)/25)*EW13+(1-EXP(-LN(2)/25))/(LN(2)/25)*Calculateur!ER14*Calculateur!ET14*VLOOKUP('Données projet'!$B$15,Paramètres!$A$1:$I$89,3,0)*0.475*44/12</f>
        <v>0</v>
      </c>
      <c r="EX14" s="23">
        <f>EXP(-LN(2)/2)*EX13+(1-EXP(-LN(2)/2))/(LN(2)/2)*ER14*EU14*VLOOKUP('Données projet'!$B$15,Paramètres!$A$1:$I$89,3,0)*0.475*44/12</f>
        <v>0</v>
      </c>
      <c r="EY14" s="24">
        <f t="shared" si="21"/>
        <v>0</v>
      </c>
      <c r="EZ14" s="77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0" t="e">
        <f t="shared" si="23"/>
        <v>#N/A</v>
      </c>
      <c r="FJ14" s="60" t="e">
        <f ca="1">AVERAGE(OFFSET($FI$3,0,0,'Données projet'!$E$16+1,1))-AVERAGE(OFFSET($H$3,0,0,'Données projet'!$E$16+1,1))</f>
        <v>#N/A</v>
      </c>
      <c r="FK14" s="60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77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0" t="e">
        <f t="shared" si="26"/>
        <v>#N/A</v>
      </c>
      <c r="GE14" s="60" t="e">
        <f ca="1">AVERAGE(OFFSET($GD$3,0,0,'Données projet'!$E$17+1,1))-AVERAGE(OFFSET($H$3,0,0,'Données projet'!$E$17+1,1))</f>
        <v>#N/A</v>
      </c>
      <c r="GF14" s="60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77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0" t="e">
        <f t="shared" si="29"/>
        <v>#N/A</v>
      </c>
      <c r="GZ14" s="60" t="e">
        <f ca="1">AVERAGE(OFFSET($GY$3,0,0,'Données projet'!$E$18+1,1))-AVERAGE(OFFSET($H$3,0,0,'Données projet'!$E$18+1,1))</f>
        <v>#N/A</v>
      </c>
      <c r="HA14" s="60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25">
      <c r="A15" s="11">
        <f t="shared" si="31"/>
        <v>12</v>
      </c>
      <c r="B15" s="74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2">
        <f t="shared" si="32"/>
        <v>0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0</v>
      </c>
      <c r="H15" s="67">
        <f t="shared" si="1"/>
        <v>256.66666666666669</v>
      </c>
      <c r="I15" s="7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3.1623931623931623</v>
      </c>
      <c r="N15" s="14">
        <f>IF('Données projet'!$A$36&gt;35,N14+M15-V14,IF(A15&lt;'Données projet'!$A$36,$K$205^A15,IF(A15='Données projet'!$A$36,'Données projet'!$B$36,N14+M15-V14)))</f>
        <v>21.922278822444071</v>
      </c>
      <c r="O15" s="14">
        <f>N15*VLOOKUP('Données projet'!$B$9,Paramètres!$A$1:$I$89,3,0)*VLOOKUP('Données projet'!$B$9,Paramètres!$A$1:$I$89,5,0)</f>
        <v>20.861240527437776</v>
      </c>
      <c r="P15" s="14">
        <f t="shared" si="33"/>
        <v>6.750267822211284</v>
      </c>
      <c r="Q15" s="22">
        <f t="shared" si="2"/>
        <v>48.090043708972111</v>
      </c>
      <c r="R15" s="60">
        <f t="shared" si="0"/>
        <v>319.42337704230545</v>
      </c>
      <c r="S15" s="60">
        <f ca="1">AVERAGE(OFFSET($R$3,0,0,'Données projet'!$E$9+1,1))-AVERAGE(OFFSET($H$3,0,0,'Données projet'!$E$9+1,1))</f>
        <v>403.49781966317852</v>
      </c>
      <c r="T15" s="60">
        <f t="shared" si="34"/>
        <v>326.06674572505409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0.6</v>
      </c>
      <c r="AI15" s="14">
        <f>IF('Données projet'!$A$62&gt;35,AI14+AH15-AQ14,IF(A15&lt;'Données projet'!$A$62,$AF$205^A15,IF(A15='Données projet'!$A$62,'Données projet'!$B$62,AI14+AH15-AQ14)))</f>
        <v>5.799546134795289</v>
      </c>
      <c r="AJ15" s="14">
        <f>AI15*VLOOKUP('Données projet'!$B$10,Paramètres!$A$1:$I$89,3,0)*VLOOKUP('Données projet'!$B$10,Paramètres!$A$1:$I$89,5,0)</f>
        <v>5.0664835033571656</v>
      </c>
      <c r="AK15" s="14">
        <f t="shared" si="35"/>
        <v>1.9329955120863267</v>
      </c>
      <c r="AL15" s="22">
        <f t="shared" si="4"/>
        <v>12.190759285230749</v>
      </c>
      <c r="AM15" s="60">
        <f t="shared" si="5"/>
        <v>283.52409261856405</v>
      </c>
      <c r="AN15" s="60">
        <f ca="1">AVERAGE(OFFSET($AM$3,0,0,'Données projet'!$E$10+1,1))-AVERAGE(OFFSET($H$3,0,0,'Données projet'!$E$10+1,1))</f>
        <v>274.66236526869056</v>
      </c>
      <c r="AO15" s="60">
        <f t="shared" si="36"/>
        <v>256.90876395053073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>
        <f>EXP(-LN(2)/35)*AU14+(1-EXP(-LN(2)/35))/(LN(2)/35)*AQ15*AR15*VLOOKUP('Données projet'!$B$10,Paramètres!$A$1:$I$89,3,0)*0.475*44/12</f>
        <v>0</v>
      </c>
      <c r="AV15" s="23">
        <f>EXP(-LN(2)/25)*AV14+(1-EXP(-LN(2)/25))/(LN(2)/25)*Calculateur!AQ15*Calculateur!AS15*VLOOKUP('Données projet'!$B$10,Paramètres!$A$1:$I$89,3,0)*0.475*44/12</f>
        <v>0</v>
      </c>
      <c r="AW15" s="23">
        <f>EXP(-LN(2)/2)*AW14+(1-EXP(-LN(2)/2))/(LN(2)/2)*AQ15*AT15*VLOOKUP('Données projet'!$B$10,Paramètres!$A$1:$I$89,3,0)*0.475*44/12</f>
        <v>0</v>
      </c>
      <c r="AX15" s="23">
        <f t="shared" si="6"/>
        <v>0</v>
      </c>
      <c r="AY15" s="76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3.65</v>
      </c>
      <c r="BD15" s="13">
        <f>IF('Données projet'!$A$88&gt;35,BD14+BC15-BL14,IF(A15&lt;'Données projet'!$A$88,$BA$205^A15,IF(A15='Données projet'!$A$88,'Données projet'!$B$88,BD14+BC15-BL14)))</f>
        <v>13.121809125710287</v>
      </c>
      <c r="BE15" s="14">
        <f>BD15*VLOOKUP('Données projet'!$B$11,Paramètres!$A$1:$I$89,3,0)*VLOOKUP('Données projet'!$B$11,Paramètres!$A$1:$I$89,5,0)</f>
        <v>11.872612896942668</v>
      </c>
      <c r="BF15" s="14">
        <f t="shared" si="37"/>
        <v>4.1022411108131784</v>
      </c>
      <c r="BG15" s="22">
        <f t="shared" si="7"/>
        <v>27.822870730174767</v>
      </c>
      <c r="BH15" s="60">
        <f t="shared" si="8"/>
        <v>299.15620406350808</v>
      </c>
      <c r="BI15" s="60">
        <f ca="1">AVERAGE(OFFSET($BH$3,0,0,'Données projet'!$E$11+1,1))-AVERAGE(OFFSET($H$3,0,0,'Données projet'!$E$11+1,1))</f>
        <v>529.25712986118265</v>
      </c>
      <c r="BJ15" s="60">
        <f t="shared" si="38"/>
        <v>278.21741231699929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>
        <f>EXP(-LN(2)/35)*BP14+(1-EXP(-LN(2)/35))/(LN(2)/35)*BL15*BM15*VLOOKUP('Données projet'!$B$11,Paramètres!$A$1:$I$89,3,0)*0.475*44/12</f>
        <v>0</v>
      </c>
      <c r="BQ15" s="23">
        <f>EXP(-LN(2)/25)*BQ14+(1-EXP(-LN(2)/25))/(LN(2)/25)*Calculateur!BL15*Calculateur!BN15*VLOOKUP('Données projet'!$B$11,Paramètres!$A$1:$I$89,3,0)*0.475*44/12</f>
        <v>0</v>
      </c>
      <c r="BR15" s="23">
        <f>EXP(-LN(2)/2)*BR14+(1-EXP(-LN(2)/2))/(LN(2)/2)*BL15*BO15*VLOOKUP('Données projet'!$B$11,Paramètres!$A$1:$I$89,3,0)*0.475*44/12</f>
        <v>0</v>
      </c>
      <c r="BS15" s="24">
        <f t="shared" si="9"/>
        <v>0</v>
      </c>
      <c r="BT15" s="77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3.65</v>
      </c>
      <c r="BY15" s="13">
        <f>IF('Données projet'!$A$114&gt;35,BY14+BX15-CG14,IF(A15&lt;'Données projet'!$A$114,$BV$205^A15,IF(A15='Données projet'!$A$114,'Données projet'!$B$114,BY14+BX15-CG14)))</f>
        <v>13.121809125710287</v>
      </c>
      <c r="BZ15" s="14">
        <f>BY15*VLOOKUP('Données projet'!$B$12,Paramètres!$A$1:$I$89,3,0)*VLOOKUP('Données projet'!$B$12,Paramètres!$A$1:$I$89,5,0)</f>
        <v>13.305514453470233</v>
      </c>
      <c r="CA15" s="14">
        <f t="shared" si="39"/>
        <v>4.5367667299931158</v>
      </c>
      <c r="CB15" s="22">
        <f t="shared" si="10"/>
        <v>31.075306394532003</v>
      </c>
      <c r="CC15" s="60">
        <f t="shared" si="11"/>
        <v>302.40863972786531</v>
      </c>
      <c r="CD15" s="60">
        <f ca="1">AVERAGE(OFFSET($CC$3,0,0,'Données projet'!$E$12+1,1))-AVERAGE(OFFSET($H$3,0,0,'Données projet'!$E$12+1,1))</f>
        <v>587.74247372331615</v>
      </c>
      <c r="CE15" s="60">
        <f t="shared" si="40"/>
        <v>306.61893266146666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>
        <f>EXP(-LN(2)/35)*CK14+(1-EXP(-LN(2)/35))/(LN(2)/35)*CG15*CH15*VLOOKUP('Données projet'!$B$12,Paramètres!$A$1:$I$89,3,0)*0.475*44/12</f>
        <v>0</v>
      </c>
      <c r="CL15" s="23">
        <f>EXP(-LN(2)/25)*CL14+(1-EXP(-LN(2)/25))/(LN(2)/25)*Calculateur!CG15*Calculateur!CI15*VLOOKUP('Données projet'!$B$12,Paramètres!$A$1:$I$89,3,0)*0.475*44/12</f>
        <v>0</v>
      </c>
      <c r="CM15" s="23">
        <f>EXP(-LN(2)/2)*CM14+(1-EXP(-LN(2)/2))/(LN(2)/2)*CG15*CJ15*VLOOKUP('Données projet'!$B$12,Paramètres!$A$1:$I$89,3,0)*0.475*44/12</f>
        <v>0</v>
      </c>
      <c r="CN15" s="24">
        <f t="shared" si="12"/>
        <v>0</v>
      </c>
      <c r="CO15" s="77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3.65</v>
      </c>
      <c r="CT15" s="13">
        <f>IF('Données projet'!$A$140&gt;35,CT14+CS15-DB14,IF(A15&lt;'Données projet'!$A$140,$CQ$205^A15,IF(A15='Données projet'!$A$140,'Données projet'!$B$140,CT14+CS15-DB14)))</f>
        <v>13.121809125710287</v>
      </c>
      <c r="CU15" s="18">
        <f>CT15*VLOOKUP('Données projet'!$B$13,Paramètres!$A$1:$I$89,3,0)*VLOOKUP('Données projet'!$B$13,Paramètres!$A$1:$I$89,5,0)</f>
        <v>14.124315342914553</v>
      </c>
      <c r="CV15" s="14">
        <f t="shared" si="41"/>
        <v>4.7825912403370845</v>
      </c>
      <c r="CW15" s="22">
        <f t="shared" si="13"/>
        <v>32.929528965829938</v>
      </c>
      <c r="CX15" s="60">
        <f t="shared" si="14"/>
        <v>304.26286229916326</v>
      </c>
      <c r="CY15" s="60">
        <f ca="1">AVERAGE(OFFSET($CX$3,0,0,'Données projet'!$E$13+1,1))-AVERAGE(OFFSET($H$3,0,0,'Données projet'!$E$13+1,1))</f>
        <v>621.10465023992288</v>
      </c>
      <c r="CZ15" s="60">
        <f t="shared" si="42"/>
        <v>322.81767004794284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>
        <f>EXP(-LN(2)/35)*DF14+(1-EXP(-LN(2)/35))/(LN(2)/35)*DB15*DC15*VLOOKUP('Données projet'!$B$13,Paramètres!$A$1:$I$89,3,0)*0.475*44/12</f>
        <v>0</v>
      </c>
      <c r="DG15" s="23">
        <f>EXP(-LN(2)/25)*DG14+(1-EXP(-LN(2)/25))/(LN(2)/25)*Calculateur!DB15*Calculateur!DD15*VLOOKUP('Données projet'!$B$13,Paramètres!$A$1:$I$89,3,0)*0.475*44/12</f>
        <v>0</v>
      </c>
      <c r="DH15" s="23">
        <f>EXP(-LN(2)/2)*DH14+(1-EXP(-LN(2)/2))/(LN(2)/2)*DB15*DE15*VLOOKUP('Données projet'!$B$13,Paramètres!$A$1:$I$89,3,0)*0.475*44/12</f>
        <v>0</v>
      </c>
      <c r="DI15" s="24">
        <f t="shared" si="15"/>
        <v>0</v>
      </c>
      <c r="DJ15" s="77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3.65</v>
      </c>
      <c r="DO15" s="13">
        <f>IF('Données projet'!$A$166&gt;35,DO14+DN15-DW14,IF(A15&lt;'Données projet'!$A$166,$DL$205^A15,IF(A15='Données projet'!$A$166,'Données projet'!$B$166,DO14+DN15-DW14)))</f>
        <v>13.121809125710287</v>
      </c>
      <c r="DP15" s="18">
        <f>DO15*VLOOKUP('Données projet'!$B$14,Paramètres!$A$1:$I$89,3,0)*VLOOKUP('Données projet'!$B$14,Paramètres!$A$1:$I$89,5,0)</f>
        <v>12.69141378638699</v>
      </c>
      <c r="DQ15" s="14">
        <f t="shared" si="43"/>
        <v>4.3512446702837533</v>
      </c>
      <c r="DR15" s="22">
        <f t="shared" si="16"/>
        <v>29.682630145368211</v>
      </c>
      <c r="DS15" s="60">
        <f t="shared" si="17"/>
        <v>301.01596347870151</v>
      </c>
      <c r="DT15" s="60">
        <f ca="1">AVERAGE(OFFSET($DS$3,0,0,'Données projet'!$E$14+1,1))-AVERAGE(OFFSET($H$3,0,0,'Données projet'!$E$14+1,1))</f>
        <v>562.69380557620775</v>
      </c>
      <c r="DU15" s="60">
        <f t="shared" si="44"/>
        <v>294.45557293177131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>
        <f>EXP(-LN(2)/35)*EA14+(1-EXP(-LN(2)/35))/(LN(2)/35)*DW15*DX15*VLOOKUP('Données projet'!$B$14,Paramètres!$A$1:$I$89,3,0)*0.475*44/12</f>
        <v>0</v>
      </c>
      <c r="EB15" s="23">
        <f>EXP(-LN(2)/25)*EB14+(1-EXP(-LN(2)/25))/(LN(2)/25)*Calculateur!DW15*Calculateur!DY15*VLOOKUP('Données projet'!$B$14,Paramètres!$A$1:$I$89,3,0)*0.475*44/12</f>
        <v>0</v>
      </c>
      <c r="EC15" s="23">
        <f>EXP(-LN(2)/2)*EC14+(1-EXP(-LN(2)/2))/(LN(2)/2)*DW15*DZ15*VLOOKUP('Données projet'!$B$14,Paramètres!$A$1:$I$89,3,0)*0.475*44/12</f>
        <v>0</v>
      </c>
      <c r="ED15" s="24">
        <f t="shared" si="18"/>
        <v>0</v>
      </c>
      <c r="EE15" s="77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2.6666666666666665</v>
      </c>
      <c r="EJ15" s="13">
        <f>IF('Données projet'!$A$192&gt;35,EJ14+EI15-ER14,IF(A15&lt;'Données projet'!$A$192,$EG$205^A15,IF(A15='Données projet'!$A$192,'Données projet'!$B$192,EJ14+EI15-ER14)))</f>
        <v>19.127049995800721</v>
      </c>
      <c r="EK15" s="18">
        <f>EJ15*VLOOKUP('Données projet'!$B$15,Paramètres!$A$1:$I$89,3,0)*VLOOKUP('Données projet'!$B$15,Paramètres!$A$1:$I$89,5,0)</f>
        <v>14.919098996724562</v>
      </c>
      <c r="EL15" s="14">
        <f t="shared" si="45"/>
        <v>5.019622097301081</v>
      </c>
      <c r="EM15" s="22">
        <f t="shared" si="19"/>
        <v>34.726605905427995</v>
      </c>
      <c r="EN15" s="60">
        <f t="shared" si="20"/>
        <v>306.05993923876133</v>
      </c>
      <c r="EO15" s="60">
        <f ca="1">AVERAGE(OFFSET($EN$3,0,0,'Données projet'!$E$15+1,1))-AVERAGE(OFFSET($H$3,0,0,'Données projet'!$E$15+1,1))</f>
        <v>292.57482726862594</v>
      </c>
      <c r="EP15" s="60">
        <f t="shared" si="46"/>
        <v>283.48738729114024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>
        <f>EXP(-LN(2)/35)*EV14+(1-EXP(-LN(2)/35))/(LN(2)/35)*ER15*ES15*VLOOKUP('Données projet'!$B$15,Paramètres!$A$1:$I$89,3,0)*0.475*44/12</f>
        <v>0</v>
      </c>
      <c r="EW15" s="23">
        <f>EXP(-LN(2)/25)*EW14+(1-EXP(-LN(2)/25))/(LN(2)/25)*Calculateur!ER15*Calculateur!ET15*VLOOKUP('Données projet'!$B$15,Paramètres!$A$1:$I$89,3,0)*0.475*44/12</f>
        <v>0</v>
      </c>
      <c r="EX15" s="23">
        <f>EXP(-LN(2)/2)*EX14+(1-EXP(-LN(2)/2))/(LN(2)/2)*ER15*EU15*VLOOKUP('Données projet'!$B$15,Paramètres!$A$1:$I$89,3,0)*0.475*44/12</f>
        <v>0</v>
      </c>
      <c r="EY15" s="24">
        <f t="shared" si="21"/>
        <v>0</v>
      </c>
      <c r="EZ15" s="77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0" t="e">
        <f t="shared" si="23"/>
        <v>#N/A</v>
      </c>
      <c r="FJ15" s="60" t="e">
        <f ca="1">AVERAGE(OFFSET($FI$3,0,0,'Données projet'!$E$16+1,1))-AVERAGE(OFFSET($H$3,0,0,'Données projet'!$E$16+1,1))</f>
        <v>#N/A</v>
      </c>
      <c r="FK15" s="60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77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0" t="e">
        <f t="shared" si="26"/>
        <v>#N/A</v>
      </c>
      <c r="GE15" s="60" t="e">
        <f ca="1">AVERAGE(OFFSET($GD$3,0,0,'Données projet'!$E$17+1,1))-AVERAGE(OFFSET($H$3,0,0,'Données projet'!$E$17+1,1))</f>
        <v>#N/A</v>
      </c>
      <c r="GF15" s="60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77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0" t="e">
        <f t="shared" si="29"/>
        <v>#N/A</v>
      </c>
      <c r="GZ15" s="60" t="e">
        <f ca="1">AVERAGE(OFFSET($GY$3,0,0,'Données projet'!$E$18+1,1))-AVERAGE(OFFSET($H$3,0,0,'Données projet'!$E$18+1,1))</f>
        <v>#N/A</v>
      </c>
      <c r="HA15" s="60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25">
      <c r="A16" s="11">
        <f t="shared" si="31"/>
        <v>13</v>
      </c>
      <c r="B16" s="74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2">
        <f t="shared" si="32"/>
        <v>0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0</v>
      </c>
      <c r="H16" s="67">
        <f t="shared" si="1"/>
        <v>256.66666666666669</v>
      </c>
      <c r="I16" s="7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3.1623931623931623</v>
      </c>
      <c r="N16" s="14">
        <f>IF('Données projet'!$A$36&gt;35,N15+M16-V15,IF(A16&lt;'Données projet'!$A$36,$K$205^A16,IF(A16='Données projet'!$A$36,'Données projet'!$B$36,N15+M16-V15)))</f>
        <v>28.35477280791984</v>
      </c>
      <c r="O16" s="14">
        <f>N16*VLOOKUP('Données projet'!$B$9,Paramètres!$A$1:$I$89,3,0)*VLOOKUP('Données projet'!$B$9,Paramètres!$A$1:$I$89,5,0)</f>
        <v>26.982401804016519</v>
      </c>
      <c r="P16" s="14">
        <f t="shared" si="33"/>
        <v>8.4733449645277137</v>
      </c>
      <c r="Q16" s="22">
        <f t="shared" si="2"/>
        <v>61.752092288547864</v>
      </c>
      <c r="R16" s="60">
        <f t="shared" si="0"/>
        <v>334.30764784410343</v>
      </c>
      <c r="S16" s="60">
        <f ca="1">AVERAGE(OFFSET($R$3,0,0,'Données projet'!$E$9+1,1))-AVERAGE(OFFSET($H$3,0,0,'Données projet'!$E$9+1,1))</f>
        <v>403.49781966317852</v>
      </c>
      <c r="T16" s="60">
        <f t="shared" si="34"/>
        <v>326.06674572505409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0</v>
      </c>
      <c r="AC16" s="24">
        <f t="shared" si="3"/>
        <v>0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0.6</v>
      </c>
      <c r="AI16" s="14">
        <f>IF('Données projet'!$A$62&gt;35,AI15+AH16-AQ15,IF(A16&lt;'Données projet'!$A$62,$AF$205^A16,IF(A16='Données projet'!$A$62,'Données projet'!$B$62,AI15+AH16-AQ15)))</f>
        <v>6.7144458364886441</v>
      </c>
      <c r="AJ16" s="14">
        <f>AI16*VLOOKUP('Données projet'!$B$10,Paramètres!$A$1:$I$89,3,0)*VLOOKUP('Données projet'!$B$10,Paramètres!$A$1:$I$89,5,0)</f>
        <v>5.86573988275648</v>
      </c>
      <c r="AK16" s="14">
        <f t="shared" si="35"/>
        <v>2.2000983287624218</v>
      </c>
      <c r="AL16" s="22">
        <f t="shared" si="4"/>
        <v>14.048001551728753</v>
      </c>
      <c r="AM16" s="60">
        <f t="shared" si="5"/>
        <v>286.6035571072843</v>
      </c>
      <c r="AN16" s="60">
        <f ca="1">AVERAGE(OFFSET($AM$3,0,0,'Données projet'!$E$10+1,1))-AVERAGE(OFFSET($H$3,0,0,'Données projet'!$E$10+1,1))</f>
        <v>274.66236526869056</v>
      </c>
      <c r="AO16" s="60">
        <f t="shared" si="36"/>
        <v>256.90876395053073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>
        <f>EXP(-LN(2)/35)*AU15+(1-EXP(-LN(2)/35))/(LN(2)/35)*AQ16*AR16*VLOOKUP('Données projet'!$B$10,Paramètres!$A$1:$I$89,3,0)*0.475*44/12</f>
        <v>0</v>
      </c>
      <c r="AV16" s="23">
        <f>EXP(-LN(2)/25)*AV15+(1-EXP(-LN(2)/25))/(LN(2)/25)*Calculateur!AQ16*Calculateur!AS16*VLOOKUP('Données projet'!$B$10,Paramètres!$A$1:$I$89,3,0)*0.475*44/12</f>
        <v>0</v>
      </c>
      <c r="AW16" s="23">
        <f>EXP(-LN(2)/2)*AW15+(1-EXP(-LN(2)/2))/(LN(2)/2)*AQ16*AT16*VLOOKUP('Données projet'!$B$10,Paramètres!$A$1:$I$89,3,0)*0.475*44/12</f>
        <v>0</v>
      </c>
      <c r="AX16" s="23">
        <f t="shared" si="6"/>
        <v>0</v>
      </c>
      <c r="AY16" s="76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3.65</v>
      </c>
      <c r="BD16" s="13">
        <f>IF('Données projet'!$A$88&gt;35,BD15+BC16-BL15,IF(A16&lt;'Données projet'!$A$88,$BA$205^A16,IF(A16='Données projet'!$A$88,'Données projet'!$B$88,BD15+BC16-BL15)))</f>
        <v>16.261472127148366</v>
      </c>
      <c r="BE16" s="14">
        <f>BD16*VLOOKUP('Données projet'!$B$11,Paramètres!$A$1:$I$89,3,0)*VLOOKUP('Données projet'!$B$11,Paramètres!$A$1:$I$89,5,0)</f>
        <v>14.713379980643843</v>
      </c>
      <c r="BF16" s="14">
        <f t="shared" si="37"/>
        <v>4.9584140165447881</v>
      </c>
      <c r="BG16" s="22">
        <f t="shared" si="7"/>
        <v>34.261707878436859</v>
      </c>
      <c r="BH16" s="60">
        <f t="shared" si="8"/>
        <v>306.81726343399242</v>
      </c>
      <c r="BI16" s="60">
        <f ca="1">AVERAGE(OFFSET($BH$3,0,0,'Données projet'!$E$11+1,1))-AVERAGE(OFFSET($H$3,0,0,'Données projet'!$E$11+1,1))</f>
        <v>529.25712986118265</v>
      </c>
      <c r="BJ16" s="60">
        <f t="shared" si="38"/>
        <v>278.21741231699929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>
        <f>EXP(-LN(2)/35)*BP15+(1-EXP(-LN(2)/35))/(LN(2)/35)*BL16*BM16*VLOOKUP('Données projet'!$B$11,Paramètres!$A$1:$I$89,3,0)*0.475*44/12</f>
        <v>0</v>
      </c>
      <c r="BQ16" s="23">
        <f>EXP(-LN(2)/25)*BQ15+(1-EXP(-LN(2)/25))/(LN(2)/25)*Calculateur!BL16*Calculateur!BN16*VLOOKUP('Données projet'!$B$11,Paramètres!$A$1:$I$89,3,0)*0.475*44/12</f>
        <v>0</v>
      </c>
      <c r="BR16" s="23">
        <f>EXP(-LN(2)/2)*BR15+(1-EXP(-LN(2)/2))/(LN(2)/2)*BL16*BO16*VLOOKUP('Données projet'!$B$11,Paramètres!$A$1:$I$89,3,0)*0.475*44/12</f>
        <v>0</v>
      </c>
      <c r="BS16" s="24">
        <f t="shared" si="9"/>
        <v>0</v>
      </c>
      <c r="BT16" s="77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3.65</v>
      </c>
      <c r="BY16" s="13">
        <f>IF('Données projet'!$A$114&gt;35,BY15+BX16-CG15,IF(A16&lt;'Données projet'!$A$114,$BV$205^A16,IF(A16='Données projet'!$A$114,'Données projet'!$B$114,BY15+BX16-CG15)))</f>
        <v>16.261472127148366</v>
      </c>
      <c r="BZ16" s="14">
        <f>BY16*VLOOKUP('Données projet'!$B$12,Paramètres!$A$1:$I$89,3,0)*VLOOKUP('Données projet'!$B$12,Paramètres!$A$1:$I$89,5,0)</f>
        <v>16.489132736928447</v>
      </c>
      <c r="CA16" s="14">
        <f t="shared" si="39"/>
        <v>5.4836288594779292</v>
      </c>
      <c r="CB16" s="22">
        <f t="shared" si="10"/>
        <v>38.269226447074438</v>
      </c>
      <c r="CC16" s="60">
        <f t="shared" si="11"/>
        <v>310.82478200263</v>
      </c>
      <c r="CD16" s="60">
        <f ca="1">AVERAGE(OFFSET($CC$3,0,0,'Données projet'!$E$12+1,1))-AVERAGE(OFFSET($H$3,0,0,'Données projet'!$E$12+1,1))</f>
        <v>587.74247372331615</v>
      </c>
      <c r="CE16" s="60">
        <f t="shared" si="40"/>
        <v>306.61893266146666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>
        <f>EXP(-LN(2)/35)*CK15+(1-EXP(-LN(2)/35))/(LN(2)/35)*CG16*CH16*VLOOKUP('Données projet'!$B$12,Paramètres!$A$1:$I$89,3,0)*0.475*44/12</f>
        <v>0</v>
      </c>
      <c r="CL16" s="23">
        <f>EXP(-LN(2)/25)*CL15+(1-EXP(-LN(2)/25))/(LN(2)/25)*Calculateur!CG16*Calculateur!CI16*VLOOKUP('Données projet'!$B$12,Paramètres!$A$1:$I$89,3,0)*0.475*44/12</f>
        <v>0</v>
      </c>
      <c r="CM16" s="23">
        <f>EXP(-LN(2)/2)*CM15+(1-EXP(-LN(2)/2))/(LN(2)/2)*CG16*CJ16*VLOOKUP('Données projet'!$B$12,Paramètres!$A$1:$I$89,3,0)*0.475*44/12</f>
        <v>0</v>
      </c>
      <c r="CN16" s="24">
        <f t="shared" si="12"/>
        <v>0</v>
      </c>
      <c r="CO16" s="77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3.65</v>
      </c>
      <c r="CT16" s="13">
        <f>IF('Données projet'!$A$140&gt;35,CT15+CS16-DB15,IF(A16&lt;'Données projet'!$A$140,$CQ$205^A16,IF(A16='Données projet'!$A$140,'Données projet'!$B$140,CT15+CS16-DB15)))</f>
        <v>16.261472127148366</v>
      </c>
      <c r="CU16" s="18">
        <f>CT16*VLOOKUP('Données projet'!$B$13,Paramètres!$A$1:$I$89,3,0)*VLOOKUP('Données projet'!$B$13,Paramètres!$A$1:$I$89,5,0)</f>
        <v>17.5038485976625</v>
      </c>
      <c r="CV16" s="14">
        <f t="shared" si="41"/>
        <v>5.7807590536264062</v>
      </c>
      <c r="CW16" s="22">
        <f t="shared" si="13"/>
        <v>40.55402499266151</v>
      </c>
      <c r="CX16" s="60">
        <f t="shared" si="14"/>
        <v>313.10958054821708</v>
      </c>
      <c r="CY16" s="60">
        <f ca="1">AVERAGE(OFFSET($CX$3,0,0,'Données projet'!$E$13+1,1))-AVERAGE(OFFSET($H$3,0,0,'Données projet'!$E$13+1,1))</f>
        <v>621.10465023992288</v>
      </c>
      <c r="CZ16" s="60">
        <f t="shared" si="42"/>
        <v>322.81767004794284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>
        <f>EXP(-LN(2)/35)*DF15+(1-EXP(-LN(2)/35))/(LN(2)/35)*DB16*DC16*VLOOKUP('Données projet'!$B$13,Paramètres!$A$1:$I$89,3,0)*0.475*44/12</f>
        <v>0</v>
      </c>
      <c r="DG16" s="23">
        <f>EXP(-LN(2)/25)*DG15+(1-EXP(-LN(2)/25))/(LN(2)/25)*Calculateur!DB16*Calculateur!DD16*VLOOKUP('Données projet'!$B$13,Paramètres!$A$1:$I$89,3,0)*0.475*44/12</f>
        <v>0</v>
      </c>
      <c r="DH16" s="23">
        <f>EXP(-LN(2)/2)*DH15+(1-EXP(-LN(2)/2))/(LN(2)/2)*DB16*DE16*VLOOKUP('Données projet'!$B$13,Paramètres!$A$1:$I$89,3,0)*0.475*44/12</f>
        <v>0</v>
      </c>
      <c r="DI16" s="24">
        <f t="shared" si="15"/>
        <v>0</v>
      </c>
      <c r="DJ16" s="77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3.65</v>
      </c>
      <c r="DO16" s="13">
        <f>IF('Données projet'!$A$166&gt;35,DO15+DN16-DW15,IF(A16&lt;'Données projet'!$A$166,$DL$205^A16,IF(A16='Données projet'!$A$166,'Données projet'!$B$166,DO15+DN16-DW15)))</f>
        <v>16.261472127148366</v>
      </c>
      <c r="DP16" s="18">
        <f>DO16*VLOOKUP('Données projet'!$B$14,Paramètres!$A$1:$I$89,3,0)*VLOOKUP('Données projet'!$B$14,Paramètres!$A$1:$I$89,5,0)</f>
        <v>15.728095841377899</v>
      </c>
      <c r="DQ16" s="14">
        <f t="shared" si="43"/>
        <v>5.2593867546400634</v>
      </c>
      <c r="DR16" s="22">
        <f t="shared" si="16"/>
        <v>36.553198854731285</v>
      </c>
      <c r="DS16" s="60">
        <f t="shared" si="17"/>
        <v>309.10875441028685</v>
      </c>
      <c r="DT16" s="60">
        <f ca="1">AVERAGE(OFFSET($DS$3,0,0,'Données projet'!$E$14+1,1))-AVERAGE(OFFSET($H$3,0,0,'Données projet'!$E$14+1,1))</f>
        <v>562.69380557620775</v>
      </c>
      <c r="DU16" s="60">
        <f t="shared" si="44"/>
        <v>294.45557293177131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>
        <f>EXP(-LN(2)/35)*EA15+(1-EXP(-LN(2)/35))/(LN(2)/35)*DW16*DX16*VLOOKUP('Données projet'!$B$14,Paramètres!$A$1:$I$89,3,0)*0.475*44/12</f>
        <v>0</v>
      </c>
      <c r="EB16" s="23">
        <f>EXP(-LN(2)/25)*EB15+(1-EXP(-LN(2)/25))/(LN(2)/25)*Calculateur!DW16*Calculateur!DY16*VLOOKUP('Données projet'!$B$14,Paramètres!$A$1:$I$89,3,0)*0.475*44/12</f>
        <v>0</v>
      </c>
      <c r="EC16" s="23">
        <f>EXP(-LN(2)/2)*EC15+(1-EXP(-LN(2)/2))/(LN(2)/2)*DW16*DZ16*VLOOKUP('Données projet'!$B$14,Paramètres!$A$1:$I$89,3,0)*0.475*44/12</f>
        <v>0</v>
      </c>
      <c r="ED16" s="24">
        <f t="shared" si="18"/>
        <v>0</v>
      </c>
      <c r="EE16" s="77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2.6666666666666665</v>
      </c>
      <c r="EJ16" s="13">
        <f>IF('Données projet'!$A$192&gt;35,EJ15+EI16-ER15,IF(A16&lt;'Données projet'!$A$192,$EG$205^A16,IF(A16='Données projet'!$A$192,'Données projet'!$B$192,EJ15+EI16-ER15)))</f>
        <v>24.459748796430759</v>
      </c>
      <c r="EK16" s="18">
        <f>EJ16*VLOOKUP('Données projet'!$B$15,Paramètres!$A$1:$I$89,3,0)*VLOOKUP('Données projet'!$B$15,Paramètres!$A$1:$I$89,5,0)</f>
        <v>19.078604061215994</v>
      </c>
      <c r="EL16" s="14">
        <f t="shared" si="45"/>
        <v>6.2379664748280286</v>
      </c>
      <c r="EM16" s="22">
        <f t="shared" si="19"/>
        <v>44.093027016943331</v>
      </c>
      <c r="EN16" s="60">
        <f t="shared" si="20"/>
        <v>316.64858257249887</v>
      </c>
      <c r="EO16" s="60">
        <f ca="1">AVERAGE(OFFSET($EN$3,0,0,'Données projet'!$E$15+1,1))-AVERAGE(OFFSET($H$3,0,0,'Données projet'!$E$15+1,1))</f>
        <v>292.57482726862594</v>
      </c>
      <c r="EP16" s="60">
        <f t="shared" si="46"/>
        <v>283.48738729114024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>
        <f>EXP(-LN(2)/35)*EV15+(1-EXP(-LN(2)/35))/(LN(2)/35)*ER16*ES16*VLOOKUP('Données projet'!$B$15,Paramètres!$A$1:$I$89,3,0)*0.475*44/12</f>
        <v>0</v>
      </c>
      <c r="EW16" s="23">
        <f>EXP(-LN(2)/25)*EW15+(1-EXP(-LN(2)/25))/(LN(2)/25)*Calculateur!ER16*Calculateur!ET16*VLOOKUP('Données projet'!$B$15,Paramètres!$A$1:$I$89,3,0)*0.475*44/12</f>
        <v>0</v>
      </c>
      <c r="EX16" s="23">
        <f>EXP(-LN(2)/2)*EX15+(1-EXP(-LN(2)/2))/(LN(2)/2)*ER16*EU16*VLOOKUP('Données projet'!$B$15,Paramètres!$A$1:$I$89,3,0)*0.475*44/12</f>
        <v>0</v>
      </c>
      <c r="EY16" s="24">
        <f t="shared" si="21"/>
        <v>0</v>
      </c>
      <c r="EZ16" s="77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0" t="e">
        <f t="shared" si="23"/>
        <v>#N/A</v>
      </c>
      <c r="FJ16" s="60" t="e">
        <f ca="1">AVERAGE(OFFSET($FI$3,0,0,'Données projet'!$E$16+1,1))-AVERAGE(OFFSET($H$3,0,0,'Données projet'!$E$16+1,1))</f>
        <v>#N/A</v>
      </c>
      <c r="FK16" s="60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77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0" t="e">
        <f t="shared" si="26"/>
        <v>#N/A</v>
      </c>
      <c r="GE16" s="60" t="e">
        <f ca="1">AVERAGE(OFFSET($GD$3,0,0,'Données projet'!$E$17+1,1))-AVERAGE(OFFSET($H$3,0,0,'Données projet'!$E$17+1,1))</f>
        <v>#N/A</v>
      </c>
      <c r="GF16" s="60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77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0" t="e">
        <f t="shared" si="29"/>
        <v>#N/A</v>
      </c>
      <c r="GZ16" s="60" t="e">
        <f ca="1">AVERAGE(OFFSET($GY$3,0,0,'Données projet'!$E$18+1,1))-AVERAGE(OFFSET($H$3,0,0,'Données projet'!$E$18+1,1))</f>
        <v>#N/A</v>
      </c>
      <c r="HA16" s="60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25">
      <c r="A17" s="11">
        <f t="shared" si="31"/>
        <v>14</v>
      </c>
      <c r="B17" s="74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2">
        <f t="shared" si="32"/>
        <v>0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0</v>
      </c>
      <c r="H17" s="67">
        <f t="shared" si="1"/>
        <v>256.66666666666669</v>
      </c>
      <c r="I17" s="7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3.1623931623931623</v>
      </c>
      <c r="N17" s="14">
        <f>IF('Données projet'!$A$36&gt;35,N16+M17-V16,IF(A17&lt;'Données projet'!$A$36,$K$205^A17,IF(A17='Données projet'!$A$36,'Données projet'!$B$36,N16+M17-V16)))</f>
        <v>36.674706471008875</v>
      </c>
      <c r="O17" s="14">
        <f>N17*VLOOKUP('Données projet'!$B$9,Paramètres!$A$1:$I$89,3,0)*VLOOKUP('Données projet'!$B$9,Paramètres!$A$1:$I$89,5,0)</f>
        <v>34.899650677812041</v>
      </c>
      <c r="P17" s="14">
        <f t="shared" si="33"/>
        <v>10.636255742571029</v>
      </c>
      <c r="Q17" s="22">
        <f t="shared" si="2"/>
        <v>79.308370348833833</v>
      </c>
      <c r="R17" s="60">
        <f t="shared" si="0"/>
        <v>353.08614812661159</v>
      </c>
      <c r="S17" s="60">
        <f ca="1">AVERAGE(OFFSET($R$3,0,0,'Données projet'!$E$9+1,1))-AVERAGE(OFFSET($H$3,0,0,'Données projet'!$E$9+1,1))</f>
        <v>403.49781966317852</v>
      </c>
      <c r="T17" s="60">
        <f t="shared" si="34"/>
        <v>326.06674572505409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0</v>
      </c>
      <c r="AC17" s="24">
        <f t="shared" si="3"/>
        <v>0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0.6</v>
      </c>
      <c r="AI17" s="14">
        <f>IF('Données projet'!$A$62&gt;35,AI16+AH17-AQ16,IF(A17&lt;'Données projet'!$A$62,$AF$205^A17,IF(A17='Données projet'!$A$62,'Données projet'!$B$62,AI16+AH17-AQ16)))</f>
        <v>7.7736743261084582</v>
      </c>
      <c r="AJ17" s="14">
        <f>AI17*VLOOKUP('Données projet'!$B$10,Paramètres!$A$1:$I$89,3,0)*VLOOKUP('Données projet'!$B$10,Paramètres!$A$1:$I$89,5,0)</f>
        <v>6.7910818912883508</v>
      </c>
      <c r="AK17" s="14">
        <f t="shared" si="35"/>
        <v>2.5041096194780144</v>
      </c>
      <c r="AL17" s="22">
        <f t="shared" si="4"/>
        <v>16.189125214584752</v>
      </c>
      <c r="AM17" s="60">
        <f t="shared" si="5"/>
        <v>289.96690299236252</v>
      </c>
      <c r="AN17" s="60">
        <f ca="1">AVERAGE(OFFSET($AM$3,0,0,'Données projet'!$E$10+1,1))-AVERAGE(OFFSET($H$3,0,0,'Données projet'!$E$10+1,1))</f>
        <v>274.66236526869056</v>
      </c>
      <c r="AO17" s="60">
        <f t="shared" si="36"/>
        <v>256.90876395053073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>
        <f>EXP(-LN(2)/35)*AU16+(1-EXP(-LN(2)/35))/(LN(2)/35)*AQ17*AR17*VLOOKUP('Données projet'!$B$10,Paramètres!$A$1:$I$89,3,0)*0.475*44/12</f>
        <v>0</v>
      </c>
      <c r="AV17" s="23">
        <f>EXP(-LN(2)/25)*AV16+(1-EXP(-LN(2)/25))/(LN(2)/25)*Calculateur!AQ17*Calculateur!AS17*VLOOKUP('Données projet'!$B$10,Paramètres!$A$1:$I$89,3,0)*0.475*44/12</f>
        <v>0</v>
      </c>
      <c r="AW17" s="23">
        <f>EXP(-LN(2)/2)*AW16+(1-EXP(-LN(2)/2))/(LN(2)/2)*AQ17*AT17*VLOOKUP('Données projet'!$B$10,Paramètres!$A$1:$I$89,3,0)*0.475*44/12</f>
        <v>0</v>
      </c>
      <c r="AX17" s="23">
        <f t="shared" si="6"/>
        <v>0</v>
      </c>
      <c r="AY17" s="76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3.65</v>
      </c>
      <c r="BD17" s="13">
        <f>IF('Données projet'!$A$88&gt;35,BD16+BC17-BL16,IF(A17&lt;'Données projet'!$A$88,$BA$205^A17,IF(A17='Données projet'!$A$88,'Données projet'!$B$88,BD16+BC17-BL16)))</f>
        <v>20.152364144963837</v>
      </c>
      <c r="BE17" s="14">
        <f>BD17*VLOOKUP('Données projet'!$B$11,Paramètres!$A$1:$I$89,3,0)*VLOOKUP('Données projet'!$B$11,Paramètres!$A$1:$I$89,5,0)</f>
        <v>18.233859078363277</v>
      </c>
      <c r="BF17" s="14">
        <f t="shared" si="37"/>
        <v>5.9932775513027368</v>
      </c>
      <c r="BG17" s="22">
        <f t="shared" si="7"/>
        <v>42.195596296668306</v>
      </c>
      <c r="BH17" s="60">
        <f t="shared" si="8"/>
        <v>315.9733740744461</v>
      </c>
      <c r="BI17" s="60">
        <f ca="1">AVERAGE(OFFSET($BH$3,0,0,'Données projet'!$E$11+1,1))-AVERAGE(OFFSET($H$3,0,0,'Données projet'!$E$11+1,1))</f>
        <v>529.25712986118265</v>
      </c>
      <c r="BJ17" s="60">
        <f t="shared" si="38"/>
        <v>278.21741231699929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>
        <f>EXP(-LN(2)/35)*BP16+(1-EXP(-LN(2)/35))/(LN(2)/35)*BL17*BM17*VLOOKUP('Données projet'!$B$11,Paramètres!$A$1:$I$89,3,0)*0.475*44/12</f>
        <v>0</v>
      </c>
      <c r="BQ17" s="23">
        <f>EXP(-LN(2)/25)*BQ16+(1-EXP(-LN(2)/25))/(LN(2)/25)*Calculateur!BL17*Calculateur!BN17*VLOOKUP('Données projet'!$B$11,Paramètres!$A$1:$I$89,3,0)*0.475*44/12</f>
        <v>0</v>
      </c>
      <c r="BR17" s="23">
        <f>EXP(-LN(2)/2)*BR16+(1-EXP(-LN(2)/2))/(LN(2)/2)*BL17*BO17*VLOOKUP('Données projet'!$B$11,Paramètres!$A$1:$I$89,3,0)*0.475*44/12</f>
        <v>0</v>
      </c>
      <c r="BS17" s="24">
        <f t="shared" si="9"/>
        <v>0</v>
      </c>
      <c r="BT17" s="77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3.65</v>
      </c>
      <c r="BY17" s="13">
        <f>IF('Données projet'!$A$114&gt;35,BY16+BX17-CG16,IF(A17&lt;'Données projet'!$A$114,$BV$205^A17,IF(A17='Données projet'!$A$114,'Données projet'!$B$114,BY16+BX17-CG16)))</f>
        <v>20.152364144963837</v>
      </c>
      <c r="BZ17" s="14">
        <f>BY17*VLOOKUP('Données projet'!$B$12,Paramètres!$A$1:$I$89,3,0)*VLOOKUP('Données projet'!$B$12,Paramètres!$A$1:$I$89,5,0)</f>
        <v>20.434497242993334</v>
      </c>
      <c r="CA17" s="14">
        <f t="shared" si="39"/>
        <v>6.6281092368495731</v>
      </c>
      <c r="CB17" s="22">
        <f t="shared" si="10"/>
        <v>47.134039619059727</v>
      </c>
      <c r="CC17" s="60">
        <f t="shared" si="11"/>
        <v>320.91181739683748</v>
      </c>
      <c r="CD17" s="60">
        <f ca="1">AVERAGE(OFFSET($CC$3,0,0,'Données projet'!$E$12+1,1))-AVERAGE(OFFSET($H$3,0,0,'Données projet'!$E$12+1,1))</f>
        <v>587.74247372331615</v>
      </c>
      <c r="CE17" s="60">
        <f t="shared" si="40"/>
        <v>306.61893266146666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>
        <f>EXP(-LN(2)/35)*CK16+(1-EXP(-LN(2)/35))/(LN(2)/35)*CG17*CH17*VLOOKUP('Données projet'!$B$12,Paramètres!$A$1:$I$89,3,0)*0.475*44/12</f>
        <v>0</v>
      </c>
      <c r="CL17" s="23">
        <f>EXP(-LN(2)/25)*CL16+(1-EXP(-LN(2)/25))/(LN(2)/25)*Calculateur!CG17*Calculateur!CI17*VLOOKUP('Données projet'!$B$12,Paramètres!$A$1:$I$89,3,0)*0.475*44/12</f>
        <v>0</v>
      </c>
      <c r="CM17" s="23">
        <f>EXP(-LN(2)/2)*CM16+(1-EXP(-LN(2)/2))/(LN(2)/2)*CG17*CJ17*VLOOKUP('Données projet'!$B$12,Paramètres!$A$1:$I$89,3,0)*0.475*44/12</f>
        <v>0</v>
      </c>
      <c r="CN17" s="24">
        <f t="shared" si="12"/>
        <v>0</v>
      </c>
      <c r="CO17" s="77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3.65</v>
      </c>
      <c r="CT17" s="13">
        <f>IF('Données projet'!$A$140&gt;35,CT16+CS17-DB16,IF(A17&lt;'Données projet'!$A$140,$CQ$205^A17,IF(A17='Données projet'!$A$140,'Données projet'!$B$140,CT16+CS17-DB16)))</f>
        <v>20.152364144963837</v>
      </c>
      <c r="CU17" s="18">
        <f>CT17*VLOOKUP('Données projet'!$B$13,Paramètres!$A$1:$I$89,3,0)*VLOOKUP('Données projet'!$B$13,Paramètres!$A$1:$I$89,5,0)</f>
        <v>21.692004765639073</v>
      </c>
      <c r="CV17" s="14">
        <f t="shared" si="41"/>
        <v>6.9872530510737043</v>
      </c>
      <c r="CW17" s="22">
        <f t="shared" si="13"/>
        <v>49.949707364108086</v>
      </c>
      <c r="CX17" s="60">
        <f t="shared" si="14"/>
        <v>323.72748514188584</v>
      </c>
      <c r="CY17" s="60">
        <f ca="1">AVERAGE(OFFSET($CX$3,0,0,'Données projet'!$E$13+1,1))-AVERAGE(OFFSET($H$3,0,0,'Données projet'!$E$13+1,1))</f>
        <v>621.10465023992288</v>
      </c>
      <c r="CZ17" s="60">
        <f t="shared" si="42"/>
        <v>322.81767004794284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>
        <f>EXP(-LN(2)/35)*DF16+(1-EXP(-LN(2)/35))/(LN(2)/35)*DB17*DC17*VLOOKUP('Données projet'!$B$13,Paramètres!$A$1:$I$89,3,0)*0.475*44/12</f>
        <v>0</v>
      </c>
      <c r="DG17" s="23">
        <f>EXP(-LN(2)/25)*DG16+(1-EXP(-LN(2)/25))/(LN(2)/25)*Calculateur!DB17*Calculateur!DD17*VLOOKUP('Données projet'!$B$13,Paramètres!$A$1:$I$89,3,0)*0.475*44/12</f>
        <v>0</v>
      </c>
      <c r="DH17" s="23">
        <f>EXP(-LN(2)/2)*DH16+(1-EXP(-LN(2)/2))/(LN(2)/2)*DB17*DE17*VLOOKUP('Données projet'!$B$13,Paramètres!$A$1:$I$89,3,0)*0.475*44/12</f>
        <v>0</v>
      </c>
      <c r="DI17" s="24">
        <f t="shared" si="15"/>
        <v>0</v>
      </c>
      <c r="DJ17" s="77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3.65</v>
      </c>
      <c r="DO17" s="13">
        <f>IF('Données projet'!$A$166&gt;35,DO16+DN17-DW16,IF(A17&lt;'Données projet'!$A$166,$DL$205^A17,IF(A17='Données projet'!$A$166,'Données projet'!$B$166,DO16+DN17-DW16)))</f>
        <v>20.152364144963837</v>
      </c>
      <c r="DP17" s="18">
        <f>DO17*VLOOKUP('Données projet'!$B$14,Paramètres!$A$1:$I$89,3,0)*VLOOKUP('Données projet'!$B$14,Paramètres!$A$1:$I$89,5,0)</f>
        <v>19.491366601009023</v>
      </c>
      <c r="DQ17" s="14">
        <f t="shared" si="43"/>
        <v>6.3570658813537859</v>
      </c>
      <c r="DR17" s="22">
        <f t="shared" si="16"/>
        <v>45.01935324011523</v>
      </c>
      <c r="DS17" s="60">
        <f t="shared" si="17"/>
        <v>318.79713101789298</v>
      </c>
      <c r="DT17" s="60">
        <f ca="1">AVERAGE(OFFSET($DS$3,0,0,'Données projet'!$E$14+1,1))-AVERAGE(OFFSET($H$3,0,0,'Données projet'!$E$14+1,1))</f>
        <v>562.69380557620775</v>
      </c>
      <c r="DU17" s="60">
        <f t="shared" si="44"/>
        <v>294.45557293177131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>
        <f>EXP(-LN(2)/35)*EA16+(1-EXP(-LN(2)/35))/(LN(2)/35)*DW17*DX17*VLOOKUP('Données projet'!$B$14,Paramètres!$A$1:$I$89,3,0)*0.475*44/12</f>
        <v>0</v>
      </c>
      <c r="EB17" s="23">
        <f>EXP(-LN(2)/25)*EB16+(1-EXP(-LN(2)/25))/(LN(2)/25)*Calculateur!DW17*Calculateur!DY17*VLOOKUP('Données projet'!$B$14,Paramètres!$A$1:$I$89,3,0)*0.475*44/12</f>
        <v>0</v>
      </c>
      <c r="EC17" s="23">
        <f>EXP(-LN(2)/2)*EC16+(1-EXP(-LN(2)/2))/(LN(2)/2)*DW17*DZ17*VLOOKUP('Données projet'!$B$14,Paramètres!$A$1:$I$89,3,0)*0.475*44/12</f>
        <v>0</v>
      </c>
      <c r="ED17" s="24">
        <f t="shared" si="18"/>
        <v>0</v>
      </c>
      <c r="EE17" s="77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2.6666666666666665</v>
      </c>
      <c r="EJ17" s="13">
        <f>IF('Données projet'!$A$192&gt;35,EJ16+EI17-ER16,IF(A17&lt;'Données projet'!$A$192,$EG$205^A17,IF(A17='Données projet'!$A$192,'Données projet'!$B$192,EJ16+EI17-ER16)))</f>
        <v>31.279225563578599</v>
      </c>
      <c r="EK17" s="18">
        <f>EJ17*VLOOKUP('Données projet'!$B$15,Paramètres!$A$1:$I$89,3,0)*VLOOKUP('Données projet'!$B$15,Paramètres!$A$1:$I$89,5,0)</f>
        <v>24.397795939591308</v>
      </c>
      <c r="EL17" s="14">
        <f t="shared" si="45"/>
        <v>7.75202295846145</v>
      </c>
      <c r="EM17" s="22">
        <f t="shared" si="19"/>
        <v>55.994267914108548</v>
      </c>
      <c r="EN17" s="60">
        <f t="shared" si="20"/>
        <v>329.77204569188632</v>
      </c>
      <c r="EO17" s="60">
        <f ca="1">AVERAGE(OFFSET($EN$3,0,0,'Données projet'!$E$15+1,1))-AVERAGE(OFFSET($H$3,0,0,'Données projet'!$E$15+1,1))</f>
        <v>292.57482726862594</v>
      </c>
      <c r="EP17" s="60">
        <f t="shared" si="46"/>
        <v>283.48738729114024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>
        <f>EXP(-LN(2)/35)*EV16+(1-EXP(-LN(2)/35))/(LN(2)/35)*ER17*ES17*VLOOKUP('Données projet'!$B$15,Paramètres!$A$1:$I$89,3,0)*0.475*44/12</f>
        <v>0</v>
      </c>
      <c r="EW17" s="23">
        <f>EXP(-LN(2)/25)*EW16+(1-EXP(-LN(2)/25))/(LN(2)/25)*Calculateur!ER17*Calculateur!ET17*VLOOKUP('Données projet'!$B$15,Paramètres!$A$1:$I$89,3,0)*0.475*44/12</f>
        <v>0</v>
      </c>
      <c r="EX17" s="23">
        <f>EXP(-LN(2)/2)*EX16+(1-EXP(-LN(2)/2))/(LN(2)/2)*ER17*EU17*VLOOKUP('Données projet'!$B$15,Paramètres!$A$1:$I$89,3,0)*0.475*44/12</f>
        <v>0</v>
      </c>
      <c r="EY17" s="24">
        <f t="shared" si="21"/>
        <v>0</v>
      </c>
      <c r="EZ17" s="77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0" t="e">
        <f t="shared" si="23"/>
        <v>#N/A</v>
      </c>
      <c r="FJ17" s="60" t="e">
        <f ca="1">AVERAGE(OFFSET($FI$3,0,0,'Données projet'!$E$16+1,1))-AVERAGE(OFFSET($H$3,0,0,'Données projet'!$E$16+1,1))</f>
        <v>#N/A</v>
      </c>
      <c r="FK17" s="60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77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0" t="e">
        <f t="shared" si="26"/>
        <v>#N/A</v>
      </c>
      <c r="GE17" s="60" t="e">
        <f ca="1">AVERAGE(OFFSET($GD$3,0,0,'Données projet'!$E$17+1,1))-AVERAGE(OFFSET($H$3,0,0,'Données projet'!$E$17+1,1))</f>
        <v>#N/A</v>
      </c>
      <c r="GF17" s="60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77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0" t="e">
        <f t="shared" si="29"/>
        <v>#N/A</v>
      </c>
      <c r="GZ17" s="60" t="e">
        <f ca="1">AVERAGE(OFFSET($GY$3,0,0,'Données projet'!$E$18+1,1))-AVERAGE(OFFSET($H$3,0,0,'Données projet'!$E$18+1,1))</f>
        <v>#N/A</v>
      </c>
      <c r="HA17" s="60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25">
      <c r="A18" s="11">
        <f t="shared" si="31"/>
        <v>15</v>
      </c>
      <c r="B18" s="74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2">
        <f t="shared" si="32"/>
        <v>0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0</v>
      </c>
      <c r="H18" s="67">
        <f t="shared" si="1"/>
        <v>256.66666666666669</v>
      </c>
      <c r="I18" s="7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3">
        <f>VLOOKUP(A18,'Données projet'!$A$35:$I$55,2,0)</f>
        <v>47.435897435897431</v>
      </c>
      <c r="L18" s="13">
        <f>VLOOKUP(A18,'Données projet'!$A$35:$I$55,9,0)</f>
        <v>3.1623931623931623</v>
      </c>
      <c r="M18" s="13">
        <f t="array" ref="M18">INDEX(L:L,MIN(IF(ISNUMBER(L18:L214),ROW(L18:L214),"")))</f>
        <v>3.1623931623931623</v>
      </c>
      <c r="N18" s="14">
        <f>IF('Données projet'!$A$36&gt;35,N17+M18-V17,IF(A18&lt;'Données projet'!$A$36,$K$205^A18,IF(A18='Données projet'!$A$36,'Données projet'!$B$36,N17+M18-V17)))</f>
        <v>47.435897435897431</v>
      </c>
      <c r="O18" s="14">
        <f>N18*VLOOKUP('Données projet'!$B$9,Paramètres!$A$1:$I$89,3,0)*VLOOKUP('Données projet'!$B$9,Paramètres!$A$1:$I$89,5,0)</f>
        <v>45.139999999999993</v>
      </c>
      <c r="P18" s="14">
        <f t="shared" si="33"/>
        <v>13.351272336364824</v>
      </c>
      <c r="Q18" s="22">
        <f t="shared" si="2"/>
        <v>101.87229931916873</v>
      </c>
      <c r="R18" s="60">
        <f t="shared" si="0"/>
        <v>376.87229931916875</v>
      </c>
      <c r="S18" s="60">
        <f ca="1">AVERAGE(OFFSET($R$3,0,0,'Données projet'!$E$9+1,1))-AVERAGE(OFFSET($H$3,0,0,'Données projet'!$E$9+1,1))</f>
        <v>403.49781966317852</v>
      </c>
      <c r="T18" s="60">
        <f t="shared" si="34"/>
        <v>326.06674572505409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0</v>
      </c>
      <c r="AC18" s="24">
        <f t="shared" si="3"/>
        <v>0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3">
        <f>VLOOKUP(A18,'Données projet'!$A$61:$I$81,2,0)</f>
        <v>9</v>
      </c>
      <c r="AG18" s="13">
        <f>VLOOKUP(A18,'Données projet'!$A$61:$I$81,9,0)</f>
        <v>0.6</v>
      </c>
      <c r="AH18" s="13">
        <f t="array" ref="AH18">INDEX(AG:AG,MIN(IF(ISNUMBER(AG18:AG214),ROW(AG18:AG214),"")))</f>
        <v>0.6</v>
      </c>
      <c r="AI18" s="14">
        <f>IF('Données projet'!$A$62&gt;35,AI17+AH18-AQ17,IF(A18&lt;'Données projet'!$A$62,$AF$205^A18,IF(A18='Données projet'!$A$62,'Données projet'!$B$62,AI17+AH18-AQ17)))</f>
        <v>9</v>
      </c>
      <c r="AJ18" s="14">
        <f>AI18*VLOOKUP('Données projet'!$B$10,Paramètres!$A$1:$I$89,3,0)*VLOOKUP('Données projet'!$B$10,Paramètres!$A$1:$I$89,5,0)</f>
        <v>7.8624000000000018</v>
      </c>
      <c r="AK18" s="14">
        <f t="shared" si="35"/>
        <v>2.8501294257559766</v>
      </c>
      <c r="AL18" s="22">
        <f t="shared" si="4"/>
        <v>18.657655416524996</v>
      </c>
      <c r="AM18" s="60">
        <f t="shared" si="5"/>
        <v>293.65765541652502</v>
      </c>
      <c r="AN18" s="60">
        <f ca="1">AVERAGE(OFFSET($AM$3,0,0,'Données projet'!$E$10+1,1))-AVERAGE(OFFSET($H$3,0,0,'Données projet'!$E$10+1,1))</f>
        <v>274.66236526869056</v>
      </c>
      <c r="AO18" s="60">
        <f t="shared" si="36"/>
        <v>256.90876395053073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>
        <f>EXP(-LN(2)/35)*AU17+(1-EXP(-LN(2)/35))/(LN(2)/35)*AQ18*AR18*VLOOKUP('Données projet'!$B$10,Paramètres!$A$1:$I$89,3,0)*0.475*44/12</f>
        <v>0</v>
      </c>
      <c r="AV18" s="23">
        <f>EXP(-LN(2)/25)*AV17+(1-EXP(-LN(2)/25))/(LN(2)/25)*Calculateur!AQ18*Calculateur!AS18*VLOOKUP('Données projet'!$B$10,Paramètres!$A$1:$I$89,3,0)*0.475*44/12</f>
        <v>0</v>
      </c>
      <c r="AW18" s="23">
        <f>EXP(-LN(2)/2)*AW17+(1-EXP(-LN(2)/2))/(LN(2)/2)*AQ18*AT18*VLOOKUP('Données projet'!$B$10,Paramètres!$A$1:$I$89,3,0)*0.475*44/12</f>
        <v>0</v>
      </c>
      <c r="AX18" s="23">
        <f t="shared" si="6"/>
        <v>0</v>
      </c>
      <c r="AY18" s="76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3.65</v>
      </c>
      <c r="BD18" s="13">
        <f>IF('Données projet'!$A$88&gt;35,BD17+BC18-BL17,IF(A18&lt;'Données projet'!$A$88,$BA$205^A18,IF(A18='Données projet'!$A$88,'Données projet'!$B$88,BD17+BC18-BL17)))</f>
        <v>24.974232188561476</v>
      </c>
      <c r="BE18" s="14">
        <f>BD18*VLOOKUP('Données projet'!$B$11,Paramètres!$A$1:$I$89,3,0)*VLOOKUP('Données projet'!$B$11,Paramètres!$A$1:$I$89,5,0)</f>
        <v>22.596685284210423</v>
      </c>
      <c r="BF18" s="14">
        <f t="shared" si="37"/>
        <v>7.2441259820371586</v>
      </c>
      <c r="BG18" s="22">
        <f t="shared" si="7"/>
        <v>51.972746288714539</v>
      </c>
      <c r="BH18" s="60">
        <f t="shared" si="8"/>
        <v>326.97274628871452</v>
      </c>
      <c r="BI18" s="60">
        <f ca="1">AVERAGE(OFFSET($BH$3,0,0,'Données projet'!$E$11+1,1))-AVERAGE(OFFSET($H$3,0,0,'Données projet'!$E$11+1,1))</f>
        <v>529.25712986118265</v>
      </c>
      <c r="BJ18" s="60">
        <f t="shared" si="38"/>
        <v>278.21741231699929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>
        <f>EXP(-LN(2)/35)*BP17+(1-EXP(-LN(2)/35))/(LN(2)/35)*BL18*BM18*VLOOKUP('Données projet'!$B$11,Paramètres!$A$1:$I$89,3,0)*0.475*44/12</f>
        <v>0</v>
      </c>
      <c r="BQ18" s="23">
        <f>EXP(-LN(2)/25)*BQ17+(1-EXP(-LN(2)/25))/(LN(2)/25)*Calculateur!BL18*Calculateur!BN18*VLOOKUP('Données projet'!$B$11,Paramètres!$A$1:$I$89,3,0)*0.475*44/12</f>
        <v>0</v>
      </c>
      <c r="BR18" s="23">
        <f>EXP(-LN(2)/2)*BR17+(1-EXP(-LN(2)/2))/(LN(2)/2)*BL18*BO18*VLOOKUP('Données projet'!$B$11,Paramètres!$A$1:$I$89,3,0)*0.475*44/12</f>
        <v>0</v>
      </c>
      <c r="BS18" s="24">
        <f t="shared" si="9"/>
        <v>0</v>
      </c>
      <c r="BT18" s="77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3.65</v>
      </c>
      <c r="BY18" s="13">
        <f>IF('Données projet'!$A$114&gt;35,BY17+BX18-CG17,IF(A18&lt;'Données projet'!$A$114,$BV$205^A18,IF(A18='Données projet'!$A$114,'Données projet'!$B$114,BY17+BX18-CG17)))</f>
        <v>24.974232188561476</v>
      </c>
      <c r="BZ18" s="14">
        <f>BY18*VLOOKUP('Données projet'!$B$12,Paramètres!$A$1:$I$89,3,0)*VLOOKUP('Données projet'!$B$12,Paramètres!$A$1:$I$89,5,0)</f>
        <v>25.323871439201337</v>
      </c>
      <c r="CA18" s="14">
        <f t="shared" si="39"/>
        <v>8.0114524854610902</v>
      </c>
      <c r="CB18" s="22">
        <f t="shared" si="10"/>
        <v>58.059022502120392</v>
      </c>
      <c r="CC18" s="60">
        <f t="shared" si="11"/>
        <v>333.0590225021204</v>
      </c>
      <c r="CD18" s="60">
        <f ca="1">AVERAGE(OFFSET($CC$3,0,0,'Données projet'!$E$12+1,1))-AVERAGE(OFFSET($H$3,0,0,'Données projet'!$E$12+1,1))</f>
        <v>587.74247372331615</v>
      </c>
      <c r="CE18" s="60">
        <f t="shared" si="40"/>
        <v>306.61893266146666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>
        <f>EXP(-LN(2)/35)*CK17+(1-EXP(-LN(2)/35))/(LN(2)/35)*CG18*CH18*VLOOKUP('Données projet'!$B$12,Paramètres!$A$1:$I$89,3,0)*0.475*44/12</f>
        <v>0</v>
      </c>
      <c r="CL18" s="23">
        <f>EXP(-LN(2)/25)*CL17+(1-EXP(-LN(2)/25))/(LN(2)/25)*Calculateur!CG18*Calculateur!CI18*VLOOKUP('Données projet'!$B$12,Paramètres!$A$1:$I$89,3,0)*0.475*44/12</f>
        <v>0</v>
      </c>
      <c r="CM18" s="23">
        <f>EXP(-LN(2)/2)*CM17+(1-EXP(-LN(2)/2))/(LN(2)/2)*CG18*CJ18*VLOOKUP('Données projet'!$B$12,Paramètres!$A$1:$I$89,3,0)*0.475*44/12</f>
        <v>0</v>
      </c>
      <c r="CN18" s="24">
        <f t="shared" si="12"/>
        <v>0</v>
      </c>
      <c r="CO18" s="77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3.65</v>
      </c>
      <c r="CT18" s="13">
        <f>IF('Données projet'!$A$140&gt;35,CT17+CS18-DB17,IF(A18&lt;'Données projet'!$A$140,$CQ$205^A18,IF(A18='Données projet'!$A$140,'Données projet'!$B$140,CT17+CS18-DB17)))</f>
        <v>24.974232188561476</v>
      </c>
      <c r="CU18" s="18">
        <f>CT18*VLOOKUP('Données projet'!$B$13,Paramètres!$A$1:$I$89,3,0)*VLOOKUP('Données projet'!$B$13,Paramètres!$A$1:$I$89,5,0)</f>
        <v>26.882263527767574</v>
      </c>
      <c r="CV18" s="14">
        <f t="shared" si="41"/>
        <v>8.4455526941763424</v>
      </c>
      <c r="CW18" s="22">
        <f t="shared" si="13"/>
        <v>61.52927991988566</v>
      </c>
      <c r="CX18" s="60">
        <f t="shared" si="14"/>
        <v>336.52927991988565</v>
      </c>
      <c r="CY18" s="60">
        <f ca="1">AVERAGE(OFFSET($CX$3,0,0,'Données projet'!$E$13+1,1))-AVERAGE(OFFSET($H$3,0,0,'Données projet'!$E$13+1,1))</f>
        <v>621.10465023992288</v>
      </c>
      <c r="CZ18" s="60">
        <f t="shared" si="42"/>
        <v>322.81767004794284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>
        <f>EXP(-LN(2)/35)*DF17+(1-EXP(-LN(2)/35))/(LN(2)/35)*DB18*DC18*VLOOKUP('Données projet'!$B$13,Paramètres!$A$1:$I$89,3,0)*0.475*44/12</f>
        <v>0</v>
      </c>
      <c r="DG18" s="23">
        <f>EXP(-LN(2)/25)*DG17+(1-EXP(-LN(2)/25))/(LN(2)/25)*Calculateur!DB18*Calculateur!DD18*VLOOKUP('Données projet'!$B$13,Paramètres!$A$1:$I$89,3,0)*0.475*44/12</f>
        <v>0</v>
      </c>
      <c r="DH18" s="23">
        <f>EXP(-LN(2)/2)*DH17+(1-EXP(-LN(2)/2))/(LN(2)/2)*DB18*DE18*VLOOKUP('Données projet'!$B$13,Paramètres!$A$1:$I$89,3,0)*0.475*44/12</f>
        <v>0</v>
      </c>
      <c r="DI18" s="24">
        <f t="shared" si="15"/>
        <v>0</v>
      </c>
      <c r="DJ18" s="77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3.65</v>
      </c>
      <c r="DO18" s="13">
        <f>IF('Données projet'!$A$166&gt;35,DO17+DN18-DW17,IF(A18&lt;'Données projet'!$A$166,$DL$205^A18,IF(A18='Données projet'!$A$166,'Données projet'!$B$166,DO17+DN18-DW17)))</f>
        <v>24.974232188561476</v>
      </c>
      <c r="DP18" s="18">
        <f>DO18*VLOOKUP('Données projet'!$B$14,Paramètres!$A$1:$I$89,3,0)*VLOOKUP('Données projet'!$B$14,Paramètres!$A$1:$I$89,5,0)</f>
        <v>24.155077372776663</v>
      </c>
      <c r="DQ18" s="14">
        <f t="shared" si="43"/>
        <v>7.6838400568695304</v>
      </c>
      <c r="DR18" s="22">
        <f t="shared" si="16"/>
        <v>55.452781189967119</v>
      </c>
      <c r="DS18" s="60">
        <f t="shared" si="17"/>
        <v>330.45278118996714</v>
      </c>
      <c r="DT18" s="60">
        <f ca="1">AVERAGE(OFFSET($DS$3,0,0,'Données projet'!$E$14+1,1))-AVERAGE(OFFSET($H$3,0,0,'Données projet'!$E$14+1,1))</f>
        <v>562.69380557620775</v>
      </c>
      <c r="DU18" s="60">
        <f t="shared" si="44"/>
        <v>294.45557293177131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>
        <f>EXP(-LN(2)/35)*EA17+(1-EXP(-LN(2)/35))/(LN(2)/35)*DW18*DX18*VLOOKUP('Données projet'!$B$14,Paramètres!$A$1:$I$89,3,0)*0.475*44/12</f>
        <v>0</v>
      </c>
      <c r="EB18" s="23">
        <f>EXP(-LN(2)/25)*EB17+(1-EXP(-LN(2)/25))/(LN(2)/25)*Calculateur!DW18*Calculateur!DY18*VLOOKUP('Données projet'!$B$14,Paramètres!$A$1:$I$89,3,0)*0.475*44/12</f>
        <v>0</v>
      </c>
      <c r="EC18" s="23">
        <f>EXP(-LN(2)/2)*EC17+(1-EXP(-LN(2)/2))/(LN(2)/2)*DW18*DZ18*VLOOKUP('Données projet'!$B$14,Paramètres!$A$1:$I$89,3,0)*0.475*44/12</f>
        <v>0</v>
      </c>
      <c r="ED18" s="24">
        <f t="shared" si="18"/>
        <v>0</v>
      </c>
      <c r="EE18" s="77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3">
        <f>VLOOKUP(A18,'Données projet'!$A$191:$I$211,2,0)</f>
        <v>40</v>
      </c>
      <c r="EH18" s="13">
        <f>VLOOKUP(A18,'Données projet'!$A$191:$I$211,9,0)</f>
        <v>2.6666666666666665</v>
      </c>
      <c r="EI18" s="13">
        <f t="array" ref="EI18">INDEX(EH:EH,MIN(IF(ISNUMBER(EH18:EH214),ROW(EH18:EH214),"")))</f>
        <v>2.6666666666666665</v>
      </c>
      <c r="EJ18" s="13">
        <f>IF('Données projet'!$A$192&gt;35,EJ17+EI18-ER17,IF(A18&lt;'Données projet'!$A$192,$EG$205^A18,IF(A18='Données projet'!$A$192,'Données projet'!$B$192,EJ17+EI18-ER17)))</f>
        <v>40</v>
      </c>
      <c r="EK18" s="18">
        <f>EJ18*VLOOKUP('Données projet'!$B$15,Paramètres!$A$1:$I$89,3,0)*VLOOKUP('Données projet'!$B$15,Paramètres!$A$1:$I$89,5,0)</f>
        <v>31.200000000000003</v>
      </c>
      <c r="EL18" s="14">
        <f t="shared" si="45"/>
        <v>9.6335657126419925</v>
      </c>
      <c r="EM18" s="22">
        <f t="shared" si="19"/>
        <v>71.118460282851473</v>
      </c>
      <c r="EN18" s="60">
        <f t="shared" si="20"/>
        <v>346.11846028285146</v>
      </c>
      <c r="EO18" s="60">
        <f ca="1">AVERAGE(OFFSET($EN$3,0,0,'Données projet'!$E$15+1,1))-AVERAGE(OFFSET($H$3,0,0,'Données projet'!$E$15+1,1))</f>
        <v>292.57482726862594</v>
      </c>
      <c r="EP18" s="60">
        <f t="shared" si="46"/>
        <v>283.48738729114024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>
        <f>EXP(-LN(2)/35)*EV17+(1-EXP(-LN(2)/35))/(LN(2)/35)*ER18*ES18*VLOOKUP('Données projet'!$B$15,Paramètres!$A$1:$I$89,3,0)*0.475*44/12</f>
        <v>0</v>
      </c>
      <c r="EW18" s="23">
        <f>EXP(-LN(2)/25)*EW17+(1-EXP(-LN(2)/25))/(LN(2)/25)*Calculateur!ER18*Calculateur!ET18*VLOOKUP('Données projet'!$B$15,Paramètres!$A$1:$I$89,3,0)*0.475*44/12</f>
        <v>0</v>
      </c>
      <c r="EX18" s="23">
        <f>EXP(-LN(2)/2)*EX17+(1-EXP(-LN(2)/2))/(LN(2)/2)*ER18*EU18*VLOOKUP('Données projet'!$B$15,Paramètres!$A$1:$I$89,3,0)*0.475*44/12</f>
        <v>0</v>
      </c>
      <c r="EY18" s="24">
        <f t="shared" si="21"/>
        <v>0</v>
      </c>
      <c r="EZ18" s="77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0" t="e">
        <f t="shared" si="23"/>
        <v>#N/A</v>
      </c>
      <c r="FJ18" s="60" t="e">
        <f ca="1">AVERAGE(OFFSET($FI$3,0,0,'Données projet'!$E$16+1,1))-AVERAGE(OFFSET($H$3,0,0,'Données projet'!$E$16+1,1))</f>
        <v>#N/A</v>
      </c>
      <c r="FK18" s="60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77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0" t="e">
        <f t="shared" si="26"/>
        <v>#N/A</v>
      </c>
      <c r="GE18" s="60" t="e">
        <f ca="1">AVERAGE(OFFSET($GD$3,0,0,'Données projet'!$E$17+1,1))-AVERAGE(OFFSET($H$3,0,0,'Données projet'!$E$17+1,1))</f>
        <v>#N/A</v>
      </c>
      <c r="GF18" s="60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77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0" t="e">
        <f t="shared" si="29"/>
        <v>#N/A</v>
      </c>
      <c r="GZ18" s="60" t="e">
        <f ca="1">AVERAGE(OFFSET($GY$3,0,0,'Données projet'!$E$18+1,1))-AVERAGE(OFFSET($H$3,0,0,'Données projet'!$E$18+1,1))</f>
        <v>#N/A</v>
      </c>
      <c r="HA18" s="60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25">
      <c r="A19" s="11">
        <f t="shared" si="31"/>
        <v>16</v>
      </c>
      <c r="B19" s="74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2">
        <f t="shared" si="32"/>
        <v>0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0</v>
      </c>
      <c r="H19" s="67">
        <f t="shared" si="1"/>
        <v>256.66666666666669</v>
      </c>
      <c r="I19" s="7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7.4358974358974361</v>
      </c>
      <c r="N19" s="14">
        <f>IF('Données projet'!$A$36&gt;35,N18+M19-V18,IF(A19&lt;'Données projet'!$A$36,$K$205^A19,IF(A19='Données projet'!$A$36,'Données projet'!$B$36,N18+M19-V18)))</f>
        <v>54.871794871794869</v>
      </c>
      <c r="O19" s="14">
        <f>N19*VLOOKUP('Données projet'!$B$9,Paramètres!$A$1:$I$89,3,0)*VLOOKUP('Données projet'!$B$9,Paramètres!$A$1:$I$89,5,0)</f>
        <v>52.216000000000001</v>
      </c>
      <c r="P19" s="14">
        <f t="shared" si="33"/>
        <v>15.184598935068502</v>
      </c>
      <c r="Q19" s="22">
        <f t="shared" si="2"/>
        <v>117.38937647857762</v>
      </c>
      <c r="R19" s="60">
        <f t="shared" si="0"/>
        <v>393.61159870079985</v>
      </c>
      <c r="S19" s="60">
        <f ca="1">AVERAGE(OFFSET($R$3,0,0,'Données projet'!$E$9+1,1))-AVERAGE(OFFSET($H$3,0,0,'Données projet'!$E$9+1,1))</f>
        <v>403.49781966317852</v>
      </c>
      <c r="T19" s="60">
        <f t="shared" si="34"/>
        <v>326.06674572505409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0</v>
      </c>
      <c r="AC19" s="24">
        <f t="shared" si="3"/>
        <v>0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9.6</v>
      </c>
      <c r="AI19" s="14">
        <f>IF('Données projet'!$A$62&gt;35,AI18+AH19-AQ18,IF(A19&lt;'Données projet'!$A$62,$AF$205^A19,IF(A19='Données projet'!$A$62,'Données projet'!$B$62,AI18+AH19-AQ18)))</f>
        <v>18.600000000000001</v>
      </c>
      <c r="AJ19" s="14">
        <f>AI19*VLOOKUP('Données projet'!$B$10,Paramètres!$A$1:$I$89,3,0)*VLOOKUP('Données projet'!$B$10,Paramètres!$A$1:$I$89,5,0)</f>
        <v>16.248960000000004</v>
      </c>
      <c r="AK19" s="14">
        <f t="shared" si="35"/>
        <v>5.4129939058841199</v>
      </c>
      <c r="AL19" s="22">
        <f t="shared" si="4"/>
        <v>37.727903052748182</v>
      </c>
      <c r="AM19" s="60">
        <f t="shared" si="5"/>
        <v>313.95012527497039</v>
      </c>
      <c r="AN19" s="60">
        <f ca="1">AVERAGE(OFFSET($AM$3,0,0,'Données projet'!$E$10+1,1))-AVERAGE(OFFSET($H$3,0,0,'Données projet'!$E$10+1,1))</f>
        <v>274.66236526869056</v>
      </c>
      <c r="AO19" s="60">
        <f t="shared" si="36"/>
        <v>256.90876395053073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>
        <f>EXP(-LN(2)/35)*AU18+(1-EXP(-LN(2)/35))/(LN(2)/35)*AQ19*AR19*VLOOKUP('Données projet'!$B$10,Paramètres!$A$1:$I$89,3,0)*0.475*44/12</f>
        <v>0</v>
      </c>
      <c r="AV19" s="23">
        <f>EXP(-LN(2)/25)*AV18+(1-EXP(-LN(2)/25))/(LN(2)/25)*Calculateur!AQ19*Calculateur!AS19*VLOOKUP('Données projet'!$B$10,Paramètres!$A$1:$I$89,3,0)*0.475*44/12</f>
        <v>0</v>
      </c>
      <c r="AW19" s="23">
        <f>EXP(-LN(2)/2)*AW18+(1-EXP(-LN(2)/2))/(LN(2)/2)*AQ19*AT19*VLOOKUP('Données projet'!$B$10,Paramètres!$A$1:$I$89,3,0)*0.475*44/12</f>
        <v>0</v>
      </c>
      <c r="AX19" s="23">
        <f t="shared" si="6"/>
        <v>0</v>
      </c>
      <c r="AY19" s="76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3.65</v>
      </c>
      <c r="BD19" s="13">
        <f>IF('Données projet'!$A$88&gt;35,BD18+BC19-BL18,IF(A19&lt;'Données projet'!$A$88,$BA$205^A19,IF(A19='Données projet'!$A$88,'Données projet'!$B$88,BD18+BC19-BL18)))</f>
        <v>30.949831440200953</v>
      </c>
      <c r="BE19" s="14">
        <f>BD19*VLOOKUP('Données projet'!$B$11,Paramètres!$A$1:$I$89,3,0)*VLOOKUP('Données projet'!$B$11,Paramètres!$A$1:$I$89,5,0)</f>
        <v>28.003407487093821</v>
      </c>
      <c r="BF19" s="14">
        <f t="shared" si="37"/>
        <v>8.7560372090925433</v>
      </c>
      <c r="BG19" s="22">
        <f t="shared" si="7"/>
        <v>64.022699512524582</v>
      </c>
      <c r="BH19" s="60">
        <f t="shared" si="8"/>
        <v>340.24492173474681</v>
      </c>
      <c r="BI19" s="60">
        <f ca="1">AVERAGE(OFFSET($BH$3,0,0,'Données projet'!$E$11+1,1))-AVERAGE(OFFSET($H$3,0,0,'Données projet'!$E$11+1,1))</f>
        <v>529.25712986118265</v>
      </c>
      <c r="BJ19" s="60">
        <f t="shared" si="38"/>
        <v>278.21741231699929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>
        <f>EXP(-LN(2)/35)*BP18+(1-EXP(-LN(2)/35))/(LN(2)/35)*BL19*BM19*VLOOKUP('Données projet'!$B$11,Paramètres!$A$1:$I$89,3,0)*0.475*44/12</f>
        <v>0</v>
      </c>
      <c r="BQ19" s="23">
        <f>EXP(-LN(2)/25)*BQ18+(1-EXP(-LN(2)/25))/(LN(2)/25)*Calculateur!BL19*Calculateur!BN19*VLOOKUP('Données projet'!$B$11,Paramètres!$A$1:$I$89,3,0)*0.475*44/12</f>
        <v>0</v>
      </c>
      <c r="BR19" s="23">
        <f>EXP(-LN(2)/2)*BR18+(1-EXP(-LN(2)/2))/(LN(2)/2)*BL19*BO19*VLOOKUP('Données projet'!$B$11,Paramètres!$A$1:$I$89,3,0)*0.475*44/12</f>
        <v>0</v>
      </c>
      <c r="BS19" s="24">
        <f t="shared" si="9"/>
        <v>0</v>
      </c>
      <c r="BT19" s="77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3.65</v>
      </c>
      <c r="BY19" s="13">
        <f>IF('Données projet'!$A$114&gt;35,BY18+BX19-CG18,IF(A19&lt;'Données projet'!$A$114,$BV$205^A19,IF(A19='Données projet'!$A$114,'Données projet'!$B$114,BY18+BX19-CG18)))</f>
        <v>30.949831440200953</v>
      </c>
      <c r="BZ19" s="14">
        <f>BY19*VLOOKUP('Données projet'!$B$12,Paramètres!$A$1:$I$89,3,0)*VLOOKUP('Données projet'!$B$12,Paramètres!$A$1:$I$89,5,0)</f>
        <v>31.383129080363769</v>
      </c>
      <c r="CA19" s="14">
        <f t="shared" si="39"/>
        <v>9.6835113353243223</v>
      </c>
      <c r="CB19" s="22">
        <f t="shared" si="10"/>
        <v>71.524398723990075</v>
      </c>
      <c r="CC19" s="60">
        <f t="shared" si="11"/>
        <v>347.74662094621232</v>
      </c>
      <c r="CD19" s="60">
        <f ca="1">AVERAGE(OFFSET($CC$3,0,0,'Données projet'!$E$12+1,1))-AVERAGE(OFFSET($H$3,0,0,'Données projet'!$E$12+1,1))</f>
        <v>587.74247372331615</v>
      </c>
      <c r="CE19" s="60">
        <f t="shared" si="40"/>
        <v>306.61893266146666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>
        <f>EXP(-LN(2)/35)*CK18+(1-EXP(-LN(2)/35))/(LN(2)/35)*CG19*CH19*VLOOKUP('Données projet'!$B$12,Paramètres!$A$1:$I$89,3,0)*0.475*44/12</f>
        <v>0</v>
      </c>
      <c r="CL19" s="23">
        <f>EXP(-LN(2)/25)*CL18+(1-EXP(-LN(2)/25))/(LN(2)/25)*Calculateur!CG19*Calculateur!CI19*VLOOKUP('Données projet'!$B$12,Paramètres!$A$1:$I$89,3,0)*0.475*44/12</f>
        <v>0</v>
      </c>
      <c r="CM19" s="23">
        <f>EXP(-LN(2)/2)*CM18+(1-EXP(-LN(2)/2))/(LN(2)/2)*CG19*CJ19*VLOOKUP('Données projet'!$B$12,Paramètres!$A$1:$I$89,3,0)*0.475*44/12</f>
        <v>0</v>
      </c>
      <c r="CN19" s="24">
        <f t="shared" si="12"/>
        <v>0</v>
      </c>
      <c r="CO19" s="77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3.65</v>
      </c>
      <c r="CT19" s="13">
        <f>IF('Données projet'!$A$140&gt;35,CT18+CS19-DB18,IF(A19&lt;'Données projet'!$A$140,$CQ$205^A19,IF(A19='Données projet'!$A$140,'Données projet'!$B$140,CT18+CS19-DB18)))</f>
        <v>30.949831440200953</v>
      </c>
      <c r="CU19" s="18">
        <f>CT19*VLOOKUP('Données projet'!$B$13,Paramètres!$A$1:$I$89,3,0)*VLOOKUP('Données projet'!$B$13,Paramètres!$A$1:$I$89,5,0)</f>
        <v>33.314398562232306</v>
      </c>
      <c r="CV19" s="14">
        <f t="shared" si="41"/>
        <v>10.208211980979948</v>
      </c>
      <c r="CW19" s="22">
        <f t="shared" si="13"/>
        <v>75.801880029428006</v>
      </c>
      <c r="CX19" s="60">
        <f t="shared" si="14"/>
        <v>352.02410225165022</v>
      </c>
      <c r="CY19" s="60">
        <f ca="1">AVERAGE(OFFSET($CX$3,0,0,'Données projet'!$E$13+1,1))-AVERAGE(OFFSET($H$3,0,0,'Données projet'!$E$13+1,1))</f>
        <v>621.10465023992288</v>
      </c>
      <c r="CZ19" s="60">
        <f t="shared" si="42"/>
        <v>322.81767004794284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>
        <f>EXP(-LN(2)/35)*DF18+(1-EXP(-LN(2)/35))/(LN(2)/35)*DB19*DC19*VLOOKUP('Données projet'!$B$13,Paramètres!$A$1:$I$89,3,0)*0.475*44/12</f>
        <v>0</v>
      </c>
      <c r="DG19" s="23">
        <f>EXP(-LN(2)/25)*DG18+(1-EXP(-LN(2)/25))/(LN(2)/25)*Calculateur!DB19*Calculateur!DD19*VLOOKUP('Données projet'!$B$13,Paramètres!$A$1:$I$89,3,0)*0.475*44/12</f>
        <v>0</v>
      </c>
      <c r="DH19" s="23">
        <f>EXP(-LN(2)/2)*DH18+(1-EXP(-LN(2)/2))/(LN(2)/2)*DB19*DE19*VLOOKUP('Données projet'!$B$13,Paramètres!$A$1:$I$89,3,0)*0.475*44/12</f>
        <v>0</v>
      </c>
      <c r="DI19" s="24">
        <f t="shared" si="15"/>
        <v>0</v>
      </c>
      <c r="DJ19" s="77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3.65</v>
      </c>
      <c r="DO19" s="13">
        <f>IF('Données projet'!$A$166&gt;35,DO18+DN19-DW18,IF(A19&lt;'Données projet'!$A$166,$DL$205^A19,IF(A19='Données projet'!$A$166,'Données projet'!$B$166,DO18+DN19-DW18)))</f>
        <v>30.949831440200953</v>
      </c>
      <c r="DP19" s="18">
        <f>DO19*VLOOKUP('Données projet'!$B$14,Paramètres!$A$1:$I$89,3,0)*VLOOKUP('Données projet'!$B$14,Paramètres!$A$1:$I$89,5,0)</f>
        <v>29.934676968962361</v>
      </c>
      <c r="DQ19" s="14">
        <f t="shared" si="43"/>
        <v>9.2875233828754098</v>
      </c>
      <c r="DR19" s="22">
        <f t="shared" si="16"/>
        <v>68.311998946117441</v>
      </c>
      <c r="DS19" s="60">
        <f t="shared" si="17"/>
        <v>344.53422116833968</v>
      </c>
      <c r="DT19" s="60">
        <f ca="1">AVERAGE(OFFSET($DS$3,0,0,'Données projet'!$E$14+1,1))-AVERAGE(OFFSET($H$3,0,0,'Données projet'!$E$14+1,1))</f>
        <v>562.69380557620775</v>
      </c>
      <c r="DU19" s="60">
        <f t="shared" si="44"/>
        <v>294.45557293177131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>
        <f>EXP(-LN(2)/35)*EA18+(1-EXP(-LN(2)/35))/(LN(2)/35)*DW19*DX19*VLOOKUP('Données projet'!$B$14,Paramètres!$A$1:$I$89,3,0)*0.475*44/12</f>
        <v>0</v>
      </c>
      <c r="EB19" s="23">
        <f>EXP(-LN(2)/25)*EB18+(1-EXP(-LN(2)/25))/(LN(2)/25)*Calculateur!DW19*Calculateur!DY19*VLOOKUP('Données projet'!$B$14,Paramètres!$A$1:$I$89,3,0)*0.475*44/12</f>
        <v>0</v>
      </c>
      <c r="EC19" s="23">
        <f>EXP(-LN(2)/2)*EC18+(1-EXP(-LN(2)/2))/(LN(2)/2)*DW19*DZ19*VLOOKUP('Données projet'!$B$14,Paramètres!$A$1:$I$89,3,0)*0.475*44/12</f>
        <v>0</v>
      </c>
      <c r="ED19" s="24">
        <f t="shared" si="18"/>
        <v>0</v>
      </c>
      <c r="EE19" s="77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9.6</v>
      </c>
      <c r="EJ19" s="13">
        <f>IF('Données projet'!$A$192&gt;35,EJ18+EI19-ER18,IF(A19&lt;'Données projet'!$A$192,$EG$205^A19,IF(A19='Données projet'!$A$192,'Données projet'!$B$192,EJ18+EI19-ER18)))</f>
        <v>49.6</v>
      </c>
      <c r="EK19" s="18">
        <f>EJ19*VLOOKUP('Données projet'!$B$15,Paramètres!$A$1:$I$89,3,0)*VLOOKUP('Données projet'!$B$15,Paramètres!$A$1:$I$89,5,0)</f>
        <v>38.688000000000002</v>
      </c>
      <c r="EL19" s="14">
        <f t="shared" si="45"/>
        <v>11.650229083154354</v>
      </c>
      <c r="EM19" s="22">
        <f t="shared" si="19"/>
        <v>87.672415653160499</v>
      </c>
      <c r="EN19" s="60">
        <f t="shared" si="20"/>
        <v>363.89463787538273</v>
      </c>
      <c r="EO19" s="60">
        <f ca="1">AVERAGE(OFFSET($EN$3,0,0,'Données projet'!$E$15+1,1))-AVERAGE(OFFSET($H$3,0,0,'Données projet'!$E$15+1,1))</f>
        <v>292.57482726862594</v>
      </c>
      <c r="EP19" s="60">
        <f t="shared" si="46"/>
        <v>283.48738729114024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>
        <f>EXP(-LN(2)/35)*EV18+(1-EXP(-LN(2)/35))/(LN(2)/35)*ER19*ES19*VLOOKUP('Données projet'!$B$15,Paramètres!$A$1:$I$89,3,0)*0.475*44/12</f>
        <v>0</v>
      </c>
      <c r="EW19" s="23">
        <f>EXP(-LN(2)/25)*EW18+(1-EXP(-LN(2)/25))/(LN(2)/25)*Calculateur!ER19*Calculateur!ET19*VLOOKUP('Données projet'!$B$15,Paramètres!$A$1:$I$89,3,0)*0.475*44/12</f>
        <v>0</v>
      </c>
      <c r="EX19" s="23">
        <f>EXP(-LN(2)/2)*EX18+(1-EXP(-LN(2)/2))/(LN(2)/2)*ER19*EU19*VLOOKUP('Données projet'!$B$15,Paramètres!$A$1:$I$89,3,0)*0.475*44/12</f>
        <v>0</v>
      </c>
      <c r="EY19" s="24">
        <f t="shared" si="21"/>
        <v>0</v>
      </c>
      <c r="EZ19" s="77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0" t="e">
        <f t="shared" si="23"/>
        <v>#N/A</v>
      </c>
      <c r="FJ19" s="60" t="e">
        <f ca="1">AVERAGE(OFFSET($FI$3,0,0,'Données projet'!$E$16+1,1))-AVERAGE(OFFSET($H$3,0,0,'Données projet'!$E$16+1,1))</f>
        <v>#N/A</v>
      </c>
      <c r="FK19" s="60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77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0" t="e">
        <f t="shared" si="26"/>
        <v>#N/A</v>
      </c>
      <c r="GE19" s="60" t="e">
        <f ca="1">AVERAGE(OFFSET($GD$3,0,0,'Données projet'!$E$17+1,1))-AVERAGE(OFFSET($H$3,0,0,'Données projet'!$E$17+1,1))</f>
        <v>#N/A</v>
      </c>
      <c r="GF19" s="60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77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0" t="e">
        <f t="shared" si="29"/>
        <v>#N/A</v>
      </c>
      <c r="GZ19" s="60" t="e">
        <f ca="1">AVERAGE(OFFSET($GY$3,0,0,'Données projet'!$E$18+1,1))-AVERAGE(OFFSET($H$3,0,0,'Données projet'!$E$18+1,1))</f>
        <v>#N/A</v>
      </c>
      <c r="HA19" s="60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25">
      <c r="A20" s="11">
        <f t="shared" si="31"/>
        <v>17</v>
      </c>
      <c r="B20" s="74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2">
        <f t="shared" si="32"/>
        <v>0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0</v>
      </c>
      <c r="H20" s="67">
        <f t="shared" si="1"/>
        <v>256.66666666666669</v>
      </c>
      <c r="I20" s="7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7.4358974358974361</v>
      </c>
      <c r="N20" s="14">
        <f>IF('Données projet'!$A$36&gt;35,N19+M20-V19,IF(A20&lt;'Données projet'!$A$36,$K$205^A20,IF(A20='Données projet'!$A$36,'Données projet'!$B$36,N19+M20-V19)))</f>
        <v>62.307692307692307</v>
      </c>
      <c r="O20" s="14">
        <f>N20*VLOOKUP('Données projet'!$B$9,Paramètres!$A$1:$I$89,3,0)*VLOOKUP('Données projet'!$B$9,Paramètres!$A$1:$I$89,5,0)</f>
        <v>59.292000000000002</v>
      </c>
      <c r="P20" s="14">
        <f t="shared" si="33"/>
        <v>16.98914092257921</v>
      </c>
      <c r="Q20" s="22">
        <f t="shared" si="2"/>
        <v>132.85632044015878</v>
      </c>
      <c r="R20" s="60">
        <f t="shared" si="0"/>
        <v>410.30076488460327</v>
      </c>
      <c r="S20" s="60">
        <f ca="1">AVERAGE(OFFSET($R$3,0,0,'Données projet'!$E$9+1,1))-AVERAGE(OFFSET($H$3,0,0,'Données projet'!$E$9+1,1))</f>
        <v>403.49781966317852</v>
      </c>
      <c r="T20" s="60">
        <f t="shared" si="34"/>
        <v>326.06674572505409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0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0</v>
      </c>
      <c r="AC20" s="24">
        <f t="shared" si="3"/>
        <v>0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9.6</v>
      </c>
      <c r="AI20" s="14">
        <f>IF('Données projet'!$A$62&gt;35,AI19+AH20-AQ19,IF(A20&lt;'Données projet'!$A$62,$AF$205^A20,IF(A20='Données projet'!$A$62,'Données projet'!$B$62,AI19+AH20-AQ19)))</f>
        <v>28.200000000000003</v>
      </c>
      <c r="AJ20" s="14">
        <f>AI20*VLOOKUP('Données projet'!$B$10,Paramètres!$A$1:$I$89,3,0)*VLOOKUP('Données projet'!$B$10,Paramètres!$A$1:$I$89,5,0)</f>
        <v>24.635520000000007</v>
      </c>
      <c r="AK20" s="14">
        <f t="shared" si="35"/>
        <v>7.8187263384607988</v>
      </c>
      <c r="AL20" s="22">
        <f t="shared" si="4"/>
        <v>56.524479039485897</v>
      </c>
      <c r="AM20" s="60">
        <f t="shared" si="5"/>
        <v>333.96892348393033</v>
      </c>
      <c r="AN20" s="60">
        <f ca="1">AVERAGE(OFFSET($AM$3,0,0,'Données projet'!$E$10+1,1))-AVERAGE(OFFSET($H$3,0,0,'Données projet'!$E$10+1,1))</f>
        <v>274.66236526869056</v>
      </c>
      <c r="AO20" s="60">
        <f t="shared" si="36"/>
        <v>256.90876395053073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>
        <f>EXP(-LN(2)/35)*AU19+(1-EXP(-LN(2)/35))/(LN(2)/35)*AQ20*AR20*VLOOKUP('Données projet'!$B$10,Paramètres!$A$1:$I$89,3,0)*0.475*44/12</f>
        <v>0</v>
      </c>
      <c r="AV20" s="23">
        <f>EXP(-LN(2)/25)*AV19+(1-EXP(-LN(2)/25))/(LN(2)/25)*Calculateur!AQ20*Calculateur!AS20*VLOOKUP('Données projet'!$B$10,Paramètres!$A$1:$I$89,3,0)*0.475*44/12</f>
        <v>0</v>
      </c>
      <c r="AW20" s="23">
        <f>EXP(-LN(2)/2)*AW19+(1-EXP(-LN(2)/2))/(LN(2)/2)*AQ20*AT20*VLOOKUP('Données projet'!$B$10,Paramètres!$A$1:$I$89,3,0)*0.475*44/12</f>
        <v>0</v>
      </c>
      <c r="AX20" s="23">
        <f t="shared" si="6"/>
        <v>0</v>
      </c>
      <c r="AY20" s="76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3.65</v>
      </c>
      <c r="BD20" s="13">
        <f>IF('Données projet'!$A$88&gt;35,BD19+BC20-BL19,IF(A20&lt;'Données projet'!$A$88,$BA$205^A20,IF(A20='Données projet'!$A$88,'Données projet'!$B$88,BD19+BC20-BL19)))</f>
        <v>38.355215845858055</v>
      </c>
      <c r="BE20" s="14">
        <f>BD20*VLOOKUP('Données projet'!$B$11,Paramètres!$A$1:$I$89,3,0)*VLOOKUP('Données projet'!$B$11,Paramètres!$A$1:$I$89,5,0)</f>
        <v>34.703799297332367</v>
      </c>
      <c r="BF20" s="14">
        <f t="shared" si="37"/>
        <v>10.583497277259243</v>
      </c>
      <c r="BG20" s="22">
        <f t="shared" si="7"/>
        <v>78.875374867413711</v>
      </c>
      <c r="BH20" s="60">
        <f t="shared" si="8"/>
        <v>356.31981931185817</v>
      </c>
      <c r="BI20" s="60">
        <f ca="1">AVERAGE(OFFSET($BH$3,0,0,'Données projet'!$E$11+1,1))-AVERAGE(OFFSET($H$3,0,0,'Données projet'!$E$11+1,1))</f>
        <v>529.25712986118265</v>
      </c>
      <c r="BJ20" s="60">
        <f t="shared" si="38"/>
        <v>278.21741231699929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>
        <f>EXP(-LN(2)/35)*BP19+(1-EXP(-LN(2)/35))/(LN(2)/35)*BL20*BM20*VLOOKUP('Données projet'!$B$11,Paramètres!$A$1:$I$89,3,0)*0.475*44/12</f>
        <v>0</v>
      </c>
      <c r="BQ20" s="23">
        <f>EXP(-LN(2)/25)*BQ19+(1-EXP(-LN(2)/25))/(LN(2)/25)*Calculateur!BL20*Calculateur!BN20*VLOOKUP('Données projet'!$B$11,Paramètres!$A$1:$I$89,3,0)*0.475*44/12</f>
        <v>0</v>
      </c>
      <c r="BR20" s="23">
        <f>EXP(-LN(2)/2)*BR19+(1-EXP(-LN(2)/2))/(LN(2)/2)*BL20*BO20*VLOOKUP('Données projet'!$B$11,Paramètres!$A$1:$I$89,3,0)*0.475*44/12</f>
        <v>0</v>
      </c>
      <c r="BS20" s="24">
        <f t="shared" si="9"/>
        <v>0</v>
      </c>
      <c r="BT20" s="77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3.65</v>
      </c>
      <c r="BY20" s="13">
        <f>IF('Données projet'!$A$114&gt;35,BY19+BX20-CG19,IF(A20&lt;'Données projet'!$A$114,$BV$205^A20,IF(A20='Données projet'!$A$114,'Données projet'!$B$114,BY19+BX20-CG19)))</f>
        <v>38.355215845858055</v>
      </c>
      <c r="BZ20" s="14">
        <f>BY20*VLOOKUP('Données projet'!$B$12,Paramètres!$A$1:$I$89,3,0)*VLOOKUP('Données projet'!$B$12,Paramètres!$A$1:$I$89,5,0)</f>
        <v>38.892188867700071</v>
      </c>
      <c r="CA20" s="14">
        <f t="shared" si="39"/>
        <v>11.704543208803392</v>
      </c>
      <c r="CB20" s="22">
        <f t="shared" si="10"/>
        <v>88.122641699910204</v>
      </c>
      <c r="CC20" s="60">
        <f t="shared" si="11"/>
        <v>365.56708614435468</v>
      </c>
      <c r="CD20" s="60">
        <f ca="1">AVERAGE(OFFSET($CC$3,0,0,'Données projet'!$E$12+1,1))-AVERAGE(OFFSET($H$3,0,0,'Données projet'!$E$12+1,1))</f>
        <v>587.74247372331615</v>
      </c>
      <c r="CE20" s="60">
        <f t="shared" si="40"/>
        <v>306.61893266146666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>
        <f>EXP(-LN(2)/35)*CK19+(1-EXP(-LN(2)/35))/(LN(2)/35)*CG20*CH20*VLOOKUP('Données projet'!$B$12,Paramètres!$A$1:$I$89,3,0)*0.475*44/12</f>
        <v>0</v>
      </c>
      <c r="CL20" s="23">
        <f>EXP(-LN(2)/25)*CL19+(1-EXP(-LN(2)/25))/(LN(2)/25)*Calculateur!CG20*Calculateur!CI20*VLOOKUP('Données projet'!$B$12,Paramètres!$A$1:$I$89,3,0)*0.475*44/12</f>
        <v>0</v>
      </c>
      <c r="CM20" s="23">
        <f>EXP(-LN(2)/2)*CM19+(1-EXP(-LN(2)/2))/(LN(2)/2)*CG20*CJ20*VLOOKUP('Données projet'!$B$12,Paramètres!$A$1:$I$89,3,0)*0.475*44/12</f>
        <v>0</v>
      </c>
      <c r="CN20" s="24">
        <f t="shared" si="12"/>
        <v>0</v>
      </c>
      <c r="CO20" s="77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3.65</v>
      </c>
      <c r="CT20" s="13">
        <f>IF('Données projet'!$A$140&gt;35,CT19+CS20-DB19,IF(A20&lt;'Données projet'!$A$140,$CQ$205^A20,IF(A20='Données projet'!$A$140,'Données projet'!$B$140,CT19+CS20-DB19)))</f>
        <v>38.355215845858055</v>
      </c>
      <c r="CU20" s="18">
        <f>CT20*VLOOKUP('Données projet'!$B$13,Paramètres!$A$1:$I$89,3,0)*VLOOKUP('Données projet'!$B$13,Paramètres!$A$1:$I$89,5,0)</f>
        <v>41.28555433648161</v>
      </c>
      <c r="CV20" s="14">
        <f t="shared" si="41"/>
        <v>12.338753379690502</v>
      </c>
      <c r="CW20" s="22">
        <f t="shared" si="13"/>
        <v>93.39566927233308</v>
      </c>
      <c r="CX20" s="60">
        <f t="shared" si="14"/>
        <v>370.84011371677752</v>
      </c>
      <c r="CY20" s="60">
        <f ca="1">AVERAGE(OFFSET($CX$3,0,0,'Données projet'!$E$13+1,1))-AVERAGE(OFFSET($H$3,0,0,'Données projet'!$E$13+1,1))</f>
        <v>621.10465023992288</v>
      </c>
      <c r="CZ20" s="60">
        <f t="shared" si="42"/>
        <v>322.81767004794284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>
        <f>EXP(-LN(2)/35)*DF19+(1-EXP(-LN(2)/35))/(LN(2)/35)*DB20*DC20*VLOOKUP('Données projet'!$B$13,Paramètres!$A$1:$I$89,3,0)*0.475*44/12</f>
        <v>0</v>
      </c>
      <c r="DG20" s="23">
        <f>EXP(-LN(2)/25)*DG19+(1-EXP(-LN(2)/25))/(LN(2)/25)*Calculateur!DB20*Calculateur!DD20*VLOOKUP('Données projet'!$B$13,Paramètres!$A$1:$I$89,3,0)*0.475*44/12</f>
        <v>0</v>
      </c>
      <c r="DH20" s="23">
        <f>EXP(-LN(2)/2)*DH19+(1-EXP(-LN(2)/2))/(LN(2)/2)*DB20*DE20*VLOOKUP('Données projet'!$B$13,Paramètres!$A$1:$I$89,3,0)*0.475*44/12</f>
        <v>0</v>
      </c>
      <c r="DI20" s="24">
        <f t="shared" si="15"/>
        <v>0</v>
      </c>
      <c r="DJ20" s="77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3.65</v>
      </c>
      <c r="DO20" s="13">
        <f>IF('Données projet'!$A$166&gt;35,DO19+DN20-DW19,IF(A20&lt;'Données projet'!$A$166,$DL$205^A20,IF(A20='Données projet'!$A$166,'Données projet'!$B$166,DO19+DN20-DW19)))</f>
        <v>38.355215845858055</v>
      </c>
      <c r="DP20" s="18">
        <f>DO20*VLOOKUP('Données projet'!$B$14,Paramètres!$A$1:$I$89,3,0)*VLOOKUP('Données projet'!$B$14,Paramètres!$A$1:$I$89,5,0)</f>
        <v>37.097164766113913</v>
      </c>
      <c r="DQ20" s="14">
        <f t="shared" si="43"/>
        <v>11.225909174194843</v>
      </c>
      <c r="DR20" s="22">
        <f t="shared" si="16"/>
        <v>84.162687112704418</v>
      </c>
      <c r="DS20" s="60">
        <f t="shared" si="17"/>
        <v>361.60713155714888</v>
      </c>
      <c r="DT20" s="60">
        <f ca="1">AVERAGE(OFFSET($DS$3,0,0,'Données projet'!$E$14+1,1))-AVERAGE(OFFSET($H$3,0,0,'Données projet'!$E$14+1,1))</f>
        <v>562.69380557620775</v>
      </c>
      <c r="DU20" s="60">
        <f t="shared" si="44"/>
        <v>294.45557293177131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>
        <f>EXP(-LN(2)/35)*EA19+(1-EXP(-LN(2)/35))/(LN(2)/35)*DW20*DX20*VLOOKUP('Données projet'!$B$14,Paramètres!$A$1:$I$89,3,0)*0.475*44/12</f>
        <v>0</v>
      </c>
      <c r="EB20" s="23">
        <f>EXP(-LN(2)/25)*EB19+(1-EXP(-LN(2)/25))/(LN(2)/25)*Calculateur!DW20*Calculateur!DY20*VLOOKUP('Données projet'!$B$14,Paramètres!$A$1:$I$89,3,0)*0.475*44/12</f>
        <v>0</v>
      </c>
      <c r="EC20" s="23">
        <f>EXP(-LN(2)/2)*EC19+(1-EXP(-LN(2)/2))/(LN(2)/2)*DW20*DZ20*VLOOKUP('Données projet'!$B$14,Paramètres!$A$1:$I$89,3,0)*0.475*44/12</f>
        <v>0</v>
      </c>
      <c r="ED20" s="24">
        <f t="shared" si="18"/>
        <v>0</v>
      </c>
      <c r="EE20" s="77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9.6</v>
      </c>
      <c r="EJ20" s="13">
        <f>IF('Données projet'!$A$192&gt;35,EJ19+EI20-ER19,IF(A20&lt;'Données projet'!$A$192,$EG$205^A20,IF(A20='Données projet'!$A$192,'Données projet'!$B$192,EJ19+EI20-ER19)))</f>
        <v>59.2</v>
      </c>
      <c r="EK20" s="18">
        <f>EJ20*VLOOKUP('Données projet'!$B$15,Paramètres!$A$1:$I$89,3,0)*VLOOKUP('Données projet'!$B$15,Paramètres!$A$1:$I$89,5,0)</f>
        <v>46.176000000000002</v>
      </c>
      <c r="EL20" s="14">
        <f t="shared" si="45"/>
        <v>13.621668778540489</v>
      </c>
      <c r="EM20" s="22">
        <f t="shared" si="19"/>
        <v>104.14760645595801</v>
      </c>
      <c r="EN20" s="60">
        <f t="shared" si="20"/>
        <v>381.59205090040246</v>
      </c>
      <c r="EO20" s="60">
        <f ca="1">AVERAGE(OFFSET($EN$3,0,0,'Données projet'!$E$15+1,1))-AVERAGE(OFFSET($H$3,0,0,'Données projet'!$E$15+1,1))</f>
        <v>292.57482726862594</v>
      </c>
      <c r="EP20" s="60">
        <f t="shared" si="46"/>
        <v>283.48738729114024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>
        <f>EXP(-LN(2)/35)*EV19+(1-EXP(-LN(2)/35))/(LN(2)/35)*ER20*ES20*VLOOKUP('Données projet'!$B$15,Paramètres!$A$1:$I$89,3,0)*0.475*44/12</f>
        <v>0</v>
      </c>
      <c r="EW20" s="23">
        <f>EXP(-LN(2)/25)*EW19+(1-EXP(-LN(2)/25))/(LN(2)/25)*Calculateur!ER20*Calculateur!ET20*VLOOKUP('Données projet'!$B$15,Paramètres!$A$1:$I$89,3,0)*0.475*44/12</f>
        <v>0</v>
      </c>
      <c r="EX20" s="23">
        <f>EXP(-LN(2)/2)*EX19+(1-EXP(-LN(2)/2))/(LN(2)/2)*ER20*EU20*VLOOKUP('Données projet'!$B$15,Paramètres!$A$1:$I$89,3,0)*0.475*44/12</f>
        <v>0</v>
      </c>
      <c r="EY20" s="24">
        <f t="shared" si="21"/>
        <v>0</v>
      </c>
      <c r="EZ20" s="77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0" t="e">
        <f t="shared" si="23"/>
        <v>#N/A</v>
      </c>
      <c r="FJ20" s="60" t="e">
        <f ca="1">AVERAGE(OFFSET($FI$3,0,0,'Données projet'!$E$16+1,1))-AVERAGE(OFFSET($H$3,0,0,'Données projet'!$E$16+1,1))</f>
        <v>#N/A</v>
      </c>
      <c r="FK20" s="60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77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0" t="e">
        <f t="shared" si="26"/>
        <v>#N/A</v>
      </c>
      <c r="GE20" s="60" t="e">
        <f ca="1">AVERAGE(OFFSET($GD$3,0,0,'Données projet'!$E$17+1,1))-AVERAGE(OFFSET($H$3,0,0,'Données projet'!$E$17+1,1))</f>
        <v>#N/A</v>
      </c>
      <c r="GF20" s="60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77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0" t="e">
        <f t="shared" si="29"/>
        <v>#N/A</v>
      </c>
      <c r="GZ20" s="60" t="e">
        <f ca="1">AVERAGE(OFFSET($GY$3,0,0,'Données projet'!$E$18+1,1))-AVERAGE(OFFSET($H$3,0,0,'Données projet'!$E$18+1,1))</f>
        <v>#N/A</v>
      </c>
      <c r="HA20" s="60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25">
      <c r="A21" s="11">
        <f t="shared" si="31"/>
        <v>18</v>
      </c>
      <c r="B21" s="74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2">
        <f t="shared" si="32"/>
        <v>0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0</v>
      </c>
      <c r="H21" s="67">
        <f t="shared" si="1"/>
        <v>256.66666666666669</v>
      </c>
      <c r="I21" s="7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7.4358974358974361</v>
      </c>
      <c r="N21" s="14">
        <f>IF('Données projet'!$A$36&gt;35,N20+M21-V20,IF(A21&lt;'Données projet'!$A$36,$K$205^A21,IF(A21='Données projet'!$A$36,'Données projet'!$B$36,N20+M21-V20)))</f>
        <v>69.743589743589737</v>
      </c>
      <c r="O21" s="14">
        <f>N21*VLOOKUP('Données projet'!$B$9,Paramètres!$A$1:$I$89,3,0)*VLOOKUP('Données projet'!$B$9,Paramètres!$A$1:$I$89,5,0)</f>
        <v>66.367999999999995</v>
      </c>
      <c r="P21" s="14">
        <f t="shared" si="33"/>
        <v>18.768726208561709</v>
      </c>
      <c r="Q21" s="22">
        <f t="shared" si="2"/>
        <v>148.27979814657829</v>
      </c>
      <c r="R21" s="60">
        <f t="shared" si="0"/>
        <v>426.94646481324497</v>
      </c>
      <c r="S21" s="60">
        <f ca="1">AVERAGE(OFFSET($R$3,0,0,'Données projet'!$E$9+1,1))-AVERAGE(OFFSET($H$3,0,0,'Données projet'!$E$9+1,1))</f>
        <v>403.49781966317852</v>
      </c>
      <c r="T21" s="60">
        <f t="shared" si="34"/>
        <v>326.06674572505409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0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0</v>
      </c>
      <c r="AC21" s="24">
        <f t="shared" si="3"/>
        <v>0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9.6</v>
      </c>
      <c r="AI21" s="14">
        <f>IF('Données projet'!$A$62&gt;35,AI20+AH21-AQ20,IF(A21&lt;'Données projet'!$A$62,$AF$205^A21,IF(A21='Données projet'!$A$62,'Données projet'!$B$62,AI20+AH21-AQ20)))</f>
        <v>37.800000000000004</v>
      </c>
      <c r="AJ21" s="14">
        <f>AI21*VLOOKUP('Données projet'!$B$10,Paramètres!$A$1:$I$89,3,0)*VLOOKUP('Données projet'!$B$10,Paramètres!$A$1:$I$89,5,0)</f>
        <v>33.022080000000003</v>
      </c>
      <c r="AK21" s="14">
        <f t="shared" si="35"/>
        <v>10.129025278332465</v>
      </c>
      <c r="AL21" s="22">
        <f t="shared" si="4"/>
        <v>75.154841693095705</v>
      </c>
      <c r="AM21" s="60">
        <f t="shared" si="5"/>
        <v>353.82150835976239</v>
      </c>
      <c r="AN21" s="60">
        <f ca="1">AVERAGE(OFFSET($AM$3,0,0,'Données projet'!$E$10+1,1))-AVERAGE(OFFSET($H$3,0,0,'Données projet'!$E$10+1,1))</f>
        <v>274.66236526869056</v>
      </c>
      <c r="AO21" s="60">
        <f t="shared" si="36"/>
        <v>256.90876395053073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>
        <f>EXP(-LN(2)/35)*AU20+(1-EXP(-LN(2)/35))/(LN(2)/35)*AQ21*AR21*VLOOKUP('Données projet'!$B$10,Paramètres!$A$1:$I$89,3,0)*0.475*44/12</f>
        <v>0</v>
      </c>
      <c r="AV21" s="23">
        <f>EXP(-LN(2)/25)*AV20+(1-EXP(-LN(2)/25))/(LN(2)/25)*Calculateur!AQ21*Calculateur!AS21*VLOOKUP('Données projet'!$B$10,Paramètres!$A$1:$I$89,3,0)*0.475*44/12</f>
        <v>0</v>
      </c>
      <c r="AW21" s="23">
        <f>EXP(-LN(2)/2)*AW20+(1-EXP(-LN(2)/2))/(LN(2)/2)*AQ21*AT21*VLOOKUP('Données projet'!$B$10,Paramètres!$A$1:$I$89,3,0)*0.475*44/12</f>
        <v>0</v>
      </c>
      <c r="AX21" s="23">
        <f t="shared" si="6"/>
        <v>0</v>
      </c>
      <c r="AY21" s="76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3.65</v>
      </c>
      <c r="BD21" s="13">
        <f>IF('Données projet'!$A$88&gt;35,BD20+BC21-BL20,IF(A21&lt;'Données projet'!$A$88,$BA$205^A21,IF(A21='Données projet'!$A$88,'Données projet'!$B$88,BD20+BC21-BL20)))</f>
        <v>47.532490941824946</v>
      </c>
      <c r="BE21" s="14">
        <f>BD21*VLOOKUP('Données projet'!$B$11,Paramètres!$A$1:$I$89,3,0)*VLOOKUP('Données projet'!$B$11,Paramètres!$A$1:$I$89,5,0)</f>
        <v>43.007397804163212</v>
      </c>
      <c r="BF21" s="14">
        <f t="shared" si="37"/>
        <v>12.792363936215189</v>
      </c>
      <c r="BG21" s="22">
        <f t="shared" si="7"/>
        <v>97.184585031159045</v>
      </c>
      <c r="BH21" s="60">
        <f t="shared" si="8"/>
        <v>375.85125169782572</v>
      </c>
      <c r="BI21" s="60">
        <f ca="1">AVERAGE(OFFSET($BH$3,0,0,'Données projet'!$E$11+1,1))-AVERAGE(OFFSET($H$3,0,0,'Données projet'!$E$11+1,1))</f>
        <v>529.25712986118265</v>
      </c>
      <c r="BJ21" s="60">
        <f t="shared" si="38"/>
        <v>278.21741231699929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>
        <f>EXP(-LN(2)/35)*BP20+(1-EXP(-LN(2)/35))/(LN(2)/35)*BL21*BM21*VLOOKUP('Données projet'!$B$11,Paramètres!$A$1:$I$89,3,0)*0.475*44/12</f>
        <v>0</v>
      </c>
      <c r="BQ21" s="23">
        <f>EXP(-LN(2)/25)*BQ20+(1-EXP(-LN(2)/25))/(LN(2)/25)*Calculateur!BL21*Calculateur!BN21*VLOOKUP('Données projet'!$B$11,Paramètres!$A$1:$I$89,3,0)*0.475*44/12</f>
        <v>0</v>
      </c>
      <c r="BR21" s="23">
        <f>EXP(-LN(2)/2)*BR20+(1-EXP(-LN(2)/2))/(LN(2)/2)*BL21*BO21*VLOOKUP('Données projet'!$B$11,Paramètres!$A$1:$I$89,3,0)*0.475*44/12</f>
        <v>0</v>
      </c>
      <c r="BS21" s="24">
        <f t="shared" si="9"/>
        <v>0</v>
      </c>
      <c r="BT21" s="77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3.65</v>
      </c>
      <c r="BY21" s="13">
        <f>IF('Données projet'!$A$114&gt;35,BY20+BX21-CG20,IF(A21&lt;'Données projet'!$A$114,$BV$205^A21,IF(A21='Données projet'!$A$114,'Données projet'!$B$114,BY20+BX21-CG20)))</f>
        <v>47.532490941824946</v>
      </c>
      <c r="BZ21" s="14">
        <f>BY21*VLOOKUP('Données projet'!$B$12,Paramètres!$A$1:$I$89,3,0)*VLOOKUP('Données projet'!$B$12,Paramètres!$A$1:$I$89,5,0)</f>
        <v>48.197945815010499</v>
      </c>
      <c r="CA21" s="14">
        <f t="shared" si="39"/>
        <v>14.147381769152156</v>
      </c>
      <c r="CB21" s="22">
        <f t="shared" si="10"/>
        <v>108.58477887574996</v>
      </c>
      <c r="CC21" s="60">
        <f t="shared" si="11"/>
        <v>387.25144554241666</v>
      </c>
      <c r="CD21" s="60">
        <f ca="1">AVERAGE(OFFSET($CC$3,0,0,'Données projet'!$E$12+1,1))-AVERAGE(OFFSET($H$3,0,0,'Données projet'!$E$12+1,1))</f>
        <v>587.74247372331615</v>
      </c>
      <c r="CE21" s="60">
        <f t="shared" si="40"/>
        <v>306.61893266146666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>
        <f>EXP(-LN(2)/35)*CK20+(1-EXP(-LN(2)/35))/(LN(2)/35)*CG21*CH21*VLOOKUP('Données projet'!$B$12,Paramètres!$A$1:$I$89,3,0)*0.475*44/12</f>
        <v>0</v>
      </c>
      <c r="CL21" s="23">
        <f>EXP(-LN(2)/25)*CL20+(1-EXP(-LN(2)/25))/(LN(2)/25)*Calculateur!CG21*Calculateur!CI21*VLOOKUP('Données projet'!$B$12,Paramètres!$A$1:$I$89,3,0)*0.475*44/12</f>
        <v>0</v>
      </c>
      <c r="CM21" s="23">
        <f>EXP(-LN(2)/2)*CM20+(1-EXP(-LN(2)/2))/(LN(2)/2)*CG21*CJ21*VLOOKUP('Données projet'!$B$12,Paramètres!$A$1:$I$89,3,0)*0.475*44/12</f>
        <v>0</v>
      </c>
      <c r="CN21" s="24">
        <f t="shared" si="12"/>
        <v>0</v>
      </c>
      <c r="CO21" s="77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3.65</v>
      </c>
      <c r="CT21" s="13">
        <f>IF('Données projet'!$A$140&gt;35,CT20+CS21-DB20,IF(A21&lt;'Données projet'!$A$140,$CQ$205^A21,IF(A21='Données projet'!$A$140,'Données projet'!$B$140,CT20+CS21-DB20)))</f>
        <v>47.532490941824946</v>
      </c>
      <c r="CU21" s="18">
        <f>CT21*VLOOKUP('Données projet'!$B$13,Paramètres!$A$1:$I$89,3,0)*VLOOKUP('Données projet'!$B$13,Paramètres!$A$1:$I$89,5,0)</f>
        <v>51.163973249780369</v>
      </c>
      <c r="CV21" s="14">
        <f t="shared" si="41"/>
        <v>14.913957042476</v>
      </c>
      <c r="CW21" s="22">
        <f t="shared" si="13"/>
        <v>115.08572859234651</v>
      </c>
      <c r="CX21" s="60">
        <f t="shared" si="14"/>
        <v>393.75239525901321</v>
      </c>
      <c r="CY21" s="60">
        <f ca="1">AVERAGE(OFFSET($CX$3,0,0,'Données projet'!$E$13+1,1))-AVERAGE(OFFSET($H$3,0,0,'Données projet'!$E$13+1,1))</f>
        <v>621.10465023992288</v>
      </c>
      <c r="CZ21" s="60">
        <f t="shared" si="42"/>
        <v>322.81767004794284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>
        <f>EXP(-LN(2)/35)*DF20+(1-EXP(-LN(2)/35))/(LN(2)/35)*DB21*DC21*VLOOKUP('Données projet'!$B$13,Paramètres!$A$1:$I$89,3,0)*0.475*44/12</f>
        <v>0</v>
      </c>
      <c r="DG21" s="23">
        <f>EXP(-LN(2)/25)*DG20+(1-EXP(-LN(2)/25))/(LN(2)/25)*Calculateur!DB21*Calculateur!DD21*VLOOKUP('Données projet'!$B$13,Paramètres!$A$1:$I$89,3,0)*0.475*44/12</f>
        <v>0</v>
      </c>
      <c r="DH21" s="23">
        <f>EXP(-LN(2)/2)*DH20+(1-EXP(-LN(2)/2))/(LN(2)/2)*DB21*DE21*VLOOKUP('Données projet'!$B$13,Paramètres!$A$1:$I$89,3,0)*0.475*44/12</f>
        <v>0</v>
      </c>
      <c r="DI21" s="24">
        <f t="shared" si="15"/>
        <v>0</v>
      </c>
      <c r="DJ21" s="77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3.65</v>
      </c>
      <c r="DO21" s="13">
        <f>IF('Données projet'!$A$166&gt;35,DO20+DN21-DW20,IF(A21&lt;'Données projet'!$A$166,$DL$205^A21,IF(A21='Données projet'!$A$166,'Données projet'!$B$166,DO20+DN21-DW20)))</f>
        <v>47.532490941824946</v>
      </c>
      <c r="DP21" s="18">
        <f>DO21*VLOOKUP('Données projet'!$B$14,Paramètres!$A$1:$I$89,3,0)*VLOOKUP('Données projet'!$B$14,Paramètres!$A$1:$I$89,5,0)</f>
        <v>45.973425238933089</v>
      </c>
      <c r="DQ21" s="14">
        <f t="shared" si="43"/>
        <v>13.56885270616201</v>
      </c>
      <c r="DR21" s="22">
        <f t="shared" si="16"/>
        <v>103.70280075437397</v>
      </c>
      <c r="DS21" s="60">
        <f t="shared" si="17"/>
        <v>382.36946742104067</v>
      </c>
      <c r="DT21" s="60">
        <f ca="1">AVERAGE(OFFSET($DS$3,0,0,'Données projet'!$E$14+1,1))-AVERAGE(OFFSET($H$3,0,0,'Données projet'!$E$14+1,1))</f>
        <v>562.69380557620775</v>
      </c>
      <c r="DU21" s="60">
        <f t="shared" si="44"/>
        <v>294.45557293177131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>
        <f>EXP(-LN(2)/35)*EA20+(1-EXP(-LN(2)/35))/(LN(2)/35)*DW21*DX21*VLOOKUP('Données projet'!$B$14,Paramètres!$A$1:$I$89,3,0)*0.475*44/12</f>
        <v>0</v>
      </c>
      <c r="EB21" s="23">
        <f>EXP(-LN(2)/25)*EB20+(1-EXP(-LN(2)/25))/(LN(2)/25)*Calculateur!DW21*Calculateur!DY21*VLOOKUP('Données projet'!$B$14,Paramètres!$A$1:$I$89,3,0)*0.475*44/12</f>
        <v>0</v>
      </c>
      <c r="EC21" s="23">
        <f>EXP(-LN(2)/2)*EC20+(1-EXP(-LN(2)/2))/(LN(2)/2)*DW21*DZ21*VLOOKUP('Données projet'!$B$14,Paramètres!$A$1:$I$89,3,0)*0.475*44/12</f>
        <v>0</v>
      </c>
      <c r="ED21" s="24">
        <f t="shared" si="18"/>
        <v>0</v>
      </c>
      <c r="EE21" s="77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9.6</v>
      </c>
      <c r="EJ21" s="13">
        <f>IF('Données projet'!$A$192&gt;35,EJ20+EI21-ER20,IF(A21&lt;'Données projet'!$A$192,$EG$205^A21,IF(A21='Données projet'!$A$192,'Données projet'!$B$192,EJ20+EI21-ER20)))</f>
        <v>68.8</v>
      </c>
      <c r="EK21" s="18">
        <f>EJ21*VLOOKUP('Données projet'!$B$15,Paramètres!$A$1:$I$89,3,0)*VLOOKUP('Données projet'!$B$15,Paramètres!$A$1:$I$89,5,0)</f>
        <v>53.664000000000001</v>
      </c>
      <c r="EL21" s="14">
        <f t="shared" si="45"/>
        <v>15.556073979202782</v>
      </c>
      <c r="EM21" s="22">
        <f t="shared" si="19"/>
        <v>120.55829551377816</v>
      </c>
      <c r="EN21" s="60">
        <f t="shared" si="20"/>
        <v>399.22496218044483</v>
      </c>
      <c r="EO21" s="60">
        <f ca="1">AVERAGE(OFFSET($EN$3,0,0,'Données projet'!$E$15+1,1))-AVERAGE(OFFSET($H$3,0,0,'Données projet'!$E$15+1,1))</f>
        <v>292.57482726862594</v>
      </c>
      <c r="EP21" s="60">
        <f t="shared" si="46"/>
        <v>283.48738729114024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>
        <f>EXP(-LN(2)/35)*EV20+(1-EXP(-LN(2)/35))/(LN(2)/35)*ER21*ES21*VLOOKUP('Données projet'!$B$15,Paramètres!$A$1:$I$89,3,0)*0.475*44/12</f>
        <v>0</v>
      </c>
      <c r="EW21" s="23">
        <f>EXP(-LN(2)/25)*EW20+(1-EXP(-LN(2)/25))/(LN(2)/25)*Calculateur!ER21*Calculateur!ET21*VLOOKUP('Données projet'!$B$15,Paramètres!$A$1:$I$89,3,0)*0.475*44/12</f>
        <v>0</v>
      </c>
      <c r="EX21" s="23">
        <f>EXP(-LN(2)/2)*EX20+(1-EXP(-LN(2)/2))/(LN(2)/2)*ER21*EU21*VLOOKUP('Données projet'!$B$15,Paramètres!$A$1:$I$89,3,0)*0.475*44/12</f>
        <v>0</v>
      </c>
      <c r="EY21" s="24">
        <f t="shared" si="21"/>
        <v>0</v>
      </c>
      <c r="EZ21" s="77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0" t="e">
        <f t="shared" si="23"/>
        <v>#N/A</v>
      </c>
      <c r="FJ21" s="60" t="e">
        <f ca="1">AVERAGE(OFFSET($FI$3,0,0,'Données projet'!$E$16+1,1))-AVERAGE(OFFSET($H$3,0,0,'Données projet'!$E$16+1,1))</f>
        <v>#N/A</v>
      </c>
      <c r="FK21" s="60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77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0" t="e">
        <f t="shared" si="26"/>
        <v>#N/A</v>
      </c>
      <c r="GE21" s="60" t="e">
        <f ca="1">AVERAGE(OFFSET($GD$3,0,0,'Données projet'!$E$17+1,1))-AVERAGE(OFFSET($H$3,0,0,'Données projet'!$E$17+1,1))</f>
        <v>#N/A</v>
      </c>
      <c r="GF21" s="60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77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0" t="e">
        <f t="shared" si="29"/>
        <v>#N/A</v>
      </c>
      <c r="GZ21" s="60" t="e">
        <f ca="1">AVERAGE(OFFSET($GY$3,0,0,'Données projet'!$E$18+1,1))-AVERAGE(OFFSET($H$3,0,0,'Données projet'!$E$18+1,1))</f>
        <v>#N/A</v>
      </c>
      <c r="HA21" s="60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25">
      <c r="A22" s="11">
        <f t="shared" si="31"/>
        <v>19</v>
      </c>
      <c r="B22" s="74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2">
        <f t="shared" si="32"/>
        <v>0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0</v>
      </c>
      <c r="H22" s="67">
        <f t="shared" si="1"/>
        <v>256.66666666666669</v>
      </c>
      <c r="I22" s="7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7.4358974358974361</v>
      </c>
      <c r="N22" s="14">
        <f>IF('Données projet'!$A$36&gt;35,N21+M22-V21,IF(A22&lt;'Données projet'!$A$36,$K$205^A22,IF(A22='Données projet'!$A$36,'Données projet'!$B$36,N21+M22-V21)))</f>
        <v>77.179487179487168</v>
      </c>
      <c r="O22" s="14">
        <f>N22*VLOOKUP('Données projet'!$B$9,Paramètres!$A$1:$I$89,3,0)*VLOOKUP('Données projet'!$B$9,Paramètres!$A$1:$I$89,5,0)</f>
        <v>73.443999999999988</v>
      </c>
      <c r="P22" s="14">
        <f t="shared" si="33"/>
        <v>20.526318854777685</v>
      </c>
      <c r="Q22" s="22">
        <f t="shared" si="2"/>
        <v>163.66497200540442</v>
      </c>
      <c r="R22" s="60">
        <f t="shared" si="0"/>
        <v>443.55386089429328</v>
      </c>
      <c r="S22" s="60">
        <f ca="1">AVERAGE(OFFSET($R$3,0,0,'Données projet'!$E$9+1,1))-AVERAGE(OFFSET($H$3,0,0,'Données projet'!$E$9+1,1))</f>
        <v>403.49781966317852</v>
      </c>
      <c r="T22" s="60">
        <f t="shared" si="34"/>
        <v>326.06674572505409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0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0</v>
      </c>
      <c r="AC22" s="24">
        <f t="shared" si="3"/>
        <v>0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9.6</v>
      </c>
      <c r="AI22" s="14">
        <f>IF('Données projet'!$A$62&gt;35,AI21+AH22-AQ21,IF(A22&lt;'Données projet'!$A$62,$AF$205^A22,IF(A22='Données projet'!$A$62,'Données projet'!$B$62,AI21+AH22-AQ21)))</f>
        <v>47.400000000000006</v>
      </c>
      <c r="AJ22" s="14">
        <f>AI22*VLOOKUP('Données projet'!$B$10,Paramètres!$A$1:$I$89,3,0)*VLOOKUP('Données projet'!$B$10,Paramètres!$A$1:$I$89,5,0)</f>
        <v>41.408640000000005</v>
      </c>
      <c r="AK22" s="14">
        <f t="shared" si="35"/>
        <v>12.371251711099637</v>
      </c>
      <c r="AL22" s="22">
        <f t="shared" si="4"/>
        <v>93.666644730165203</v>
      </c>
      <c r="AM22" s="60">
        <f t="shared" si="5"/>
        <v>373.55553361905407</v>
      </c>
      <c r="AN22" s="60">
        <f ca="1">AVERAGE(OFFSET($AM$3,0,0,'Données projet'!$E$10+1,1))-AVERAGE(OFFSET($H$3,0,0,'Données projet'!$E$10+1,1))</f>
        <v>274.66236526869056</v>
      </c>
      <c r="AO22" s="60">
        <f t="shared" si="36"/>
        <v>256.90876395053073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>
        <f>EXP(-LN(2)/35)*AU21+(1-EXP(-LN(2)/35))/(LN(2)/35)*AQ22*AR22*VLOOKUP('Données projet'!$B$10,Paramètres!$A$1:$I$89,3,0)*0.475*44/12</f>
        <v>0</v>
      </c>
      <c r="AV22" s="23">
        <f>EXP(-LN(2)/25)*AV21+(1-EXP(-LN(2)/25))/(LN(2)/25)*Calculateur!AQ22*Calculateur!AS22*VLOOKUP('Données projet'!$B$10,Paramètres!$A$1:$I$89,3,0)*0.475*44/12</f>
        <v>0</v>
      </c>
      <c r="AW22" s="23">
        <f>EXP(-LN(2)/2)*AW21+(1-EXP(-LN(2)/2))/(LN(2)/2)*AQ22*AT22*VLOOKUP('Données projet'!$B$10,Paramètres!$A$1:$I$89,3,0)*0.475*44/12</f>
        <v>0</v>
      </c>
      <c r="AX22" s="23">
        <f t="shared" si="6"/>
        <v>0</v>
      </c>
      <c r="AY22" s="76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3.65</v>
      </c>
      <c r="BD22" s="13">
        <f>IF('Données projet'!$A$88&gt;35,BD21+BC22-BL21,IF(A22&lt;'Données projet'!$A$88,$BA$205^A22,IF(A22='Données projet'!$A$88,'Données projet'!$B$88,BD21+BC22-BL21)))</f>
        <v>58.90561805764559</v>
      </c>
      <c r="BE22" s="14">
        <f>BD22*VLOOKUP('Données projet'!$B$11,Paramètres!$A$1:$I$89,3,0)*VLOOKUP('Données projet'!$B$11,Paramètres!$A$1:$I$89,5,0)</f>
        <v>53.297803218557732</v>
      </c>
      <c r="BF22" s="14">
        <f t="shared" si="37"/>
        <v>15.462240012873817</v>
      </c>
      <c r="BG22" s="22">
        <f t="shared" si="7"/>
        <v>119.75707529474329</v>
      </c>
      <c r="BH22" s="60">
        <f t="shared" si="8"/>
        <v>399.64596418363215</v>
      </c>
      <c r="BI22" s="60">
        <f ca="1">AVERAGE(OFFSET($BH$3,0,0,'Données projet'!$E$11+1,1))-AVERAGE(OFFSET($H$3,0,0,'Données projet'!$E$11+1,1))</f>
        <v>529.25712986118265</v>
      </c>
      <c r="BJ22" s="60">
        <f t="shared" si="38"/>
        <v>278.21741231699929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>
        <f>EXP(-LN(2)/35)*BP21+(1-EXP(-LN(2)/35))/(LN(2)/35)*BL22*BM22*VLOOKUP('Données projet'!$B$11,Paramètres!$A$1:$I$89,3,0)*0.475*44/12</f>
        <v>0</v>
      </c>
      <c r="BQ22" s="23">
        <f>EXP(-LN(2)/25)*BQ21+(1-EXP(-LN(2)/25))/(LN(2)/25)*Calculateur!BL22*Calculateur!BN22*VLOOKUP('Données projet'!$B$11,Paramètres!$A$1:$I$89,3,0)*0.475*44/12</f>
        <v>0</v>
      </c>
      <c r="BR22" s="23">
        <f>EXP(-LN(2)/2)*BR21+(1-EXP(-LN(2)/2))/(LN(2)/2)*BL22*BO22*VLOOKUP('Données projet'!$B$11,Paramètres!$A$1:$I$89,3,0)*0.475*44/12</f>
        <v>0</v>
      </c>
      <c r="BS22" s="24">
        <f t="shared" si="9"/>
        <v>0</v>
      </c>
      <c r="BT22" s="77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3.65</v>
      </c>
      <c r="BY22" s="13">
        <f>IF('Données projet'!$A$114&gt;35,BY21+BX22-CG21,IF(A22&lt;'Données projet'!$A$114,$BV$205^A22,IF(A22='Données projet'!$A$114,'Données projet'!$B$114,BY21+BX22-CG21)))</f>
        <v>58.90561805764559</v>
      </c>
      <c r="BZ22" s="14">
        <f>BY22*VLOOKUP('Données projet'!$B$12,Paramètres!$A$1:$I$89,3,0)*VLOOKUP('Données projet'!$B$12,Paramètres!$A$1:$I$89,5,0)</f>
        <v>59.730296710452635</v>
      </c>
      <c r="CA22" s="14">
        <f t="shared" si="39"/>
        <v>17.100061689857345</v>
      </c>
      <c r="CB22" s="22">
        <f t="shared" si="10"/>
        <v>133.81287421387319</v>
      </c>
      <c r="CC22" s="60">
        <f t="shared" si="11"/>
        <v>413.70176310276202</v>
      </c>
      <c r="CD22" s="60">
        <f ca="1">AVERAGE(OFFSET($CC$3,0,0,'Données projet'!$E$12+1,1))-AVERAGE(OFFSET($H$3,0,0,'Données projet'!$E$12+1,1))</f>
        <v>587.74247372331615</v>
      </c>
      <c r="CE22" s="60">
        <f t="shared" si="40"/>
        <v>306.61893266146666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>
        <f>EXP(-LN(2)/35)*CK21+(1-EXP(-LN(2)/35))/(LN(2)/35)*CG22*CH22*VLOOKUP('Données projet'!$B$12,Paramètres!$A$1:$I$89,3,0)*0.475*44/12</f>
        <v>0</v>
      </c>
      <c r="CL22" s="23">
        <f>EXP(-LN(2)/25)*CL21+(1-EXP(-LN(2)/25))/(LN(2)/25)*Calculateur!CG22*Calculateur!CI22*VLOOKUP('Données projet'!$B$12,Paramètres!$A$1:$I$89,3,0)*0.475*44/12</f>
        <v>0</v>
      </c>
      <c r="CM22" s="23">
        <f>EXP(-LN(2)/2)*CM21+(1-EXP(-LN(2)/2))/(LN(2)/2)*CG22*CJ22*VLOOKUP('Données projet'!$B$12,Paramètres!$A$1:$I$89,3,0)*0.475*44/12</f>
        <v>0</v>
      </c>
      <c r="CN22" s="24">
        <f t="shared" si="12"/>
        <v>0</v>
      </c>
      <c r="CO22" s="77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3.65</v>
      </c>
      <c r="CT22" s="13">
        <f>IF('Données projet'!$A$140&gt;35,CT21+CS22-DB21,IF(A22&lt;'Données projet'!$A$140,$CQ$205^A22,IF(A22='Données projet'!$A$140,'Données projet'!$B$140,CT21+CS22-DB21)))</f>
        <v>58.90561805764559</v>
      </c>
      <c r="CU22" s="18">
        <f>CT22*VLOOKUP('Données projet'!$B$13,Paramètres!$A$1:$I$89,3,0)*VLOOKUP('Données projet'!$B$13,Paramètres!$A$1:$I$89,5,0)</f>
        <v>63.406007277249707</v>
      </c>
      <c r="CV22" s="14">
        <f t="shared" si="41"/>
        <v>18.026627797823672</v>
      </c>
      <c r="CW22" s="22">
        <f t="shared" si="13"/>
        <v>141.82850608908612</v>
      </c>
      <c r="CX22" s="60">
        <f t="shared" si="14"/>
        <v>421.717394977975</v>
      </c>
      <c r="CY22" s="60">
        <f ca="1">AVERAGE(OFFSET($CX$3,0,0,'Données projet'!$E$13+1,1))-AVERAGE(OFFSET($H$3,0,0,'Données projet'!$E$13+1,1))</f>
        <v>621.10465023992288</v>
      </c>
      <c r="CZ22" s="60">
        <f t="shared" si="42"/>
        <v>322.81767004794284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>
        <f>EXP(-LN(2)/35)*DF21+(1-EXP(-LN(2)/35))/(LN(2)/35)*DB22*DC22*VLOOKUP('Données projet'!$B$13,Paramètres!$A$1:$I$89,3,0)*0.475*44/12</f>
        <v>0</v>
      </c>
      <c r="DG22" s="23">
        <f>EXP(-LN(2)/25)*DG21+(1-EXP(-LN(2)/25))/(LN(2)/25)*Calculateur!DB22*Calculateur!DD22*VLOOKUP('Données projet'!$B$13,Paramètres!$A$1:$I$89,3,0)*0.475*44/12</f>
        <v>0</v>
      </c>
      <c r="DH22" s="23">
        <f>EXP(-LN(2)/2)*DH21+(1-EXP(-LN(2)/2))/(LN(2)/2)*DB22*DE22*VLOOKUP('Données projet'!$B$13,Paramètres!$A$1:$I$89,3,0)*0.475*44/12</f>
        <v>0</v>
      </c>
      <c r="DI22" s="24">
        <f t="shared" si="15"/>
        <v>0</v>
      </c>
      <c r="DJ22" s="77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3.65</v>
      </c>
      <c r="DO22" s="13">
        <f>IF('Données projet'!$A$166&gt;35,DO21+DN22-DW21,IF(A22&lt;'Données projet'!$A$166,$DL$205^A22,IF(A22='Données projet'!$A$166,'Données projet'!$B$166,DO21+DN22-DW21)))</f>
        <v>58.90561805764559</v>
      </c>
      <c r="DP22" s="18">
        <f>DO22*VLOOKUP('Données projet'!$B$14,Paramètres!$A$1:$I$89,3,0)*VLOOKUP('Données projet'!$B$14,Paramètres!$A$1:$I$89,5,0)</f>
        <v>56.973513785354818</v>
      </c>
      <c r="DQ22" s="14">
        <f t="shared" si="43"/>
        <v>16.400788649238766</v>
      </c>
      <c r="DR22" s="22">
        <f t="shared" si="16"/>
        <v>127.7935767402505</v>
      </c>
      <c r="DS22" s="60">
        <f t="shared" si="17"/>
        <v>407.68246562913936</v>
      </c>
      <c r="DT22" s="60">
        <f ca="1">AVERAGE(OFFSET($DS$3,0,0,'Données projet'!$E$14+1,1))-AVERAGE(OFFSET($H$3,0,0,'Données projet'!$E$14+1,1))</f>
        <v>562.69380557620775</v>
      </c>
      <c r="DU22" s="60">
        <f t="shared" si="44"/>
        <v>294.45557293177131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>
        <f>EXP(-LN(2)/35)*EA21+(1-EXP(-LN(2)/35))/(LN(2)/35)*DW22*DX22*VLOOKUP('Données projet'!$B$14,Paramètres!$A$1:$I$89,3,0)*0.475*44/12</f>
        <v>0</v>
      </c>
      <c r="EB22" s="23">
        <f>EXP(-LN(2)/25)*EB21+(1-EXP(-LN(2)/25))/(LN(2)/25)*Calculateur!DW22*Calculateur!DY22*VLOOKUP('Données projet'!$B$14,Paramètres!$A$1:$I$89,3,0)*0.475*44/12</f>
        <v>0</v>
      </c>
      <c r="EC22" s="23">
        <f>EXP(-LN(2)/2)*EC21+(1-EXP(-LN(2)/2))/(LN(2)/2)*DW22*DZ22*VLOOKUP('Données projet'!$B$14,Paramètres!$A$1:$I$89,3,0)*0.475*44/12</f>
        <v>0</v>
      </c>
      <c r="ED22" s="24">
        <f t="shared" si="18"/>
        <v>0</v>
      </c>
      <c r="EE22" s="77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9.6</v>
      </c>
      <c r="EJ22" s="13">
        <f>IF('Données projet'!$A$192&gt;35,EJ21+EI22-ER21,IF(A22&lt;'Données projet'!$A$192,$EG$205^A22,IF(A22='Données projet'!$A$192,'Données projet'!$B$192,EJ21+EI22-ER21)))</f>
        <v>78.399999999999991</v>
      </c>
      <c r="EK22" s="18">
        <f>EJ22*VLOOKUP('Données projet'!$B$15,Paramètres!$A$1:$I$89,3,0)*VLOOKUP('Données projet'!$B$15,Paramètres!$A$1:$I$89,5,0)</f>
        <v>61.151999999999994</v>
      </c>
      <c r="EL22" s="14">
        <f t="shared" si="45"/>
        <v>17.459207591071255</v>
      </c>
      <c r="EM22" s="22">
        <f t="shared" si="19"/>
        <v>136.9145198877824</v>
      </c>
      <c r="EN22" s="60">
        <f t="shared" si="20"/>
        <v>416.80340877667129</v>
      </c>
      <c r="EO22" s="60">
        <f ca="1">AVERAGE(OFFSET($EN$3,0,0,'Données projet'!$E$15+1,1))-AVERAGE(OFFSET($H$3,0,0,'Données projet'!$E$15+1,1))</f>
        <v>292.57482726862594</v>
      </c>
      <c r="EP22" s="60">
        <f t="shared" si="46"/>
        <v>283.48738729114024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>
        <f>EXP(-LN(2)/35)*EV21+(1-EXP(-LN(2)/35))/(LN(2)/35)*ER22*ES22*VLOOKUP('Données projet'!$B$15,Paramètres!$A$1:$I$89,3,0)*0.475*44/12</f>
        <v>0</v>
      </c>
      <c r="EW22" s="23">
        <f>EXP(-LN(2)/25)*EW21+(1-EXP(-LN(2)/25))/(LN(2)/25)*Calculateur!ER22*Calculateur!ET22*VLOOKUP('Données projet'!$B$15,Paramètres!$A$1:$I$89,3,0)*0.475*44/12</f>
        <v>0</v>
      </c>
      <c r="EX22" s="23">
        <f>EXP(-LN(2)/2)*EX21+(1-EXP(-LN(2)/2))/(LN(2)/2)*ER22*EU22*VLOOKUP('Données projet'!$B$15,Paramètres!$A$1:$I$89,3,0)*0.475*44/12</f>
        <v>0</v>
      </c>
      <c r="EY22" s="24">
        <f t="shared" si="21"/>
        <v>0</v>
      </c>
      <c r="EZ22" s="77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0" t="e">
        <f t="shared" si="23"/>
        <v>#N/A</v>
      </c>
      <c r="FJ22" s="60" t="e">
        <f ca="1">AVERAGE(OFFSET($FI$3,0,0,'Données projet'!$E$16+1,1))-AVERAGE(OFFSET($H$3,0,0,'Données projet'!$E$16+1,1))</f>
        <v>#N/A</v>
      </c>
      <c r="FK22" s="60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77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0" t="e">
        <f t="shared" si="26"/>
        <v>#N/A</v>
      </c>
      <c r="GE22" s="60" t="e">
        <f ca="1">AVERAGE(OFFSET($GD$3,0,0,'Données projet'!$E$17+1,1))-AVERAGE(OFFSET($H$3,0,0,'Données projet'!$E$17+1,1))</f>
        <v>#N/A</v>
      </c>
      <c r="GF22" s="60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77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0" t="e">
        <f t="shared" si="29"/>
        <v>#N/A</v>
      </c>
      <c r="GZ22" s="60" t="e">
        <f ca="1">AVERAGE(OFFSET($GY$3,0,0,'Données projet'!$E$18+1,1))-AVERAGE(OFFSET($H$3,0,0,'Données projet'!$E$18+1,1))</f>
        <v>#N/A</v>
      </c>
      <c r="HA22" s="60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25">
      <c r="A23" s="11">
        <f t="shared" si="31"/>
        <v>20</v>
      </c>
      <c r="B23" s="74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2">
        <f t="shared" si="32"/>
        <v>0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0</v>
      </c>
      <c r="H23" s="67">
        <f t="shared" si="1"/>
        <v>256.66666666666669</v>
      </c>
      <c r="I23" s="7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3">
        <f>VLOOKUP(A23,'Données projet'!$A$35:$I$55,2,0)</f>
        <v>84.615384615384613</v>
      </c>
      <c r="L23" s="13">
        <f>VLOOKUP(A23,'Données projet'!$A$35:$I$55,9,0)</f>
        <v>7.4358974358974361</v>
      </c>
      <c r="M23" s="13">
        <f t="array" ref="M23">INDEX(L:L,MIN(IF(ISNUMBER(L23:L219),ROW(L23:L219),"")))</f>
        <v>7.4358974358974361</v>
      </c>
      <c r="N23" s="14">
        <f>IF('Données projet'!$A$36&gt;35,N22+M23-V22,IF(A23&lt;'Données projet'!$A$36,$K$205^A23,IF(A23='Données projet'!$A$36,'Données projet'!$B$36,N22+M23-V22)))</f>
        <v>84.615384615384599</v>
      </c>
      <c r="O23" s="14">
        <f>N23*VLOOKUP('Données projet'!$B$9,Paramètres!$A$1:$I$89,3,0)*VLOOKUP('Données projet'!$B$9,Paramètres!$A$1:$I$89,5,0)</f>
        <v>80.519999999999982</v>
      </c>
      <c r="P23" s="14">
        <f t="shared" si="33"/>
        <v>22.264278849845564</v>
      </c>
      <c r="Q23" s="22">
        <f t="shared" si="2"/>
        <v>179.01595233014768</v>
      </c>
      <c r="R23" s="60">
        <f t="shared" si="0"/>
        <v>460.12706344125883</v>
      </c>
      <c r="S23" s="60">
        <f ca="1">AVERAGE(OFFSET($R$3,0,0,'Données projet'!$E$9+1,1))-AVERAGE(OFFSET($H$3,0,0,'Données projet'!$E$9+1,1))</f>
        <v>403.49781966317852</v>
      </c>
      <c r="T23" s="60">
        <f t="shared" si="34"/>
        <v>326.06674572505409</v>
      </c>
      <c r="U23" s="16">
        <f>IF(ISNA(VLOOKUP(A23,'Données projet'!$A$35:$I$55,3,0)),0,VLOOKUP(A23,'Données projet'!$A$35:$I$55,3,0))</f>
        <v>1</v>
      </c>
      <c r="V23" s="16">
        <f>IF(ISNA(VLOOKUP(A23,'Données projet'!$A$35:$I$55,4,0)),0,VLOOKUP(A23,'Données projet'!$A$35:$I$55,4,0))</f>
        <v>21.153846153846153</v>
      </c>
      <c r="W23" s="17">
        <f>IF(ISNA(VLOOKUP(A23,'Données projet'!$A$35:$I$55,5,0)),0%,VLOOKUP(A23,'Données projet'!$A$35:$I$55,5,0)*VLOOKUP('Données projet'!$B$9,Paramètres!$A$1:$I$89,7,0))</f>
        <v>0</v>
      </c>
      <c r="X23" s="75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0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0</v>
      </c>
      <c r="AC23" s="24">
        <f t="shared" si="3"/>
        <v>0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3">
        <f>VLOOKUP(A23,'Données projet'!$A$61:$I$81,2,0)</f>
        <v>57</v>
      </c>
      <c r="AG23" s="13">
        <f>VLOOKUP(A23,'Données projet'!$A$61:$I$81,9,0)</f>
        <v>9.6</v>
      </c>
      <c r="AH23" s="13">
        <f t="array" ref="AH23">INDEX(AG:AG,MIN(IF(ISNUMBER(AG23:AG219),ROW(AG23:AG219),"")))</f>
        <v>9.6</v>
      </c>
      <c r="AI23" s="14">
        <f>IF('Données projet'!$A$62&gt;35,AI22+AH23-AQ22,IF(A23&lt;'Données projet'!$A$62,$AF$205^A23,IF(A23='Données projet'!$A$62,'Données projet'!$B$62,AI22+AH23-AQ22)))</f>
        <v>57.000000000000007</v>
      </c>
      <c r="AJ23" s="14">
        <f>AI23*VLOOKUP('Données projet'!$B$10,Paramètres!$A$1:$I$89,3,0)*VLOOKUP('Données projet'!$B$10,Paramètres!$A$1:$I$89,5,0)</f>
        <v>49.795200000000008</v>
      </c>
      <c r="AK23" s="14">
        <f t="shared" si="35"/>
        <v>14.560856542690781</v>
      </c>
      <c r="AL23" s="22">
        <f t="shared" si="4"/>
        <v>112.08679847851981</v>
      </c>
      <c r="AM23" s="60">
        <f t="shared" si="5"/>
        <v>393.19790958963097</v>
      </c>
      <c r="AN23" s="60">
        <f ca="1">AVERAGE(OFFSET($AM$3,0,0,'Données projet'!$E$10+1,1))-AVERAGE(OFFSET($H$3,0,0,'Données projet'!$E$10+1,1))</f>
        <v>274.66236526869056</v>
      </c>
      <c r="AO23" s="60">
        <f t="shared" si="36"/>
        <v>256.90876395053073</v>
      </c>
      <c r="AP23" s="16">
        <f>IF(ISNA(VLOOKUP(A23,'Données projet'!$A$61:$I$81,3,0)),0,VLOOKUP(A23,'Données projet'!$A$61:$I$81,3,0))</f>
        <v>0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>
        <f>EXP(-LN(2)/35)*AU22+(1-EXP(-LN(2)/35))/(LN(2)/35)*AQ23*AR23*VLOOKUP('Données projet'!$B$10,Paramètres!$A$1:$I$89,3,0)*0.475*44/12</f>
        <v>0</v>
      </c>
      <c r="AV23" s="23">
        <f>EXP(-LN(2)/25)*AV22+(1-EXP(-LN(2)/25))/(LN(2)/25)*Calculateur!AQ23*Calculateur!AS23*VLOOKUP('Données projet'!$B$10,Paramètres!$A$1:$I$89,3,0)*0.475*44/12</f>
        <v>0</v>
      </c>
      <c r="AW23" s="23">
        <f>EXP(-LN(2)/2)*AW22+(1-EXP(-LN(2)/2))/(LN(2)/2)*AQ23*AT23*VLOOKUP('Données projet'!$B$10,Paramètres!$A$1:$I$89,3,0)*0.475*44/12</f>
        <v>0</v>
      </c>
      <c r="AX23" s="23">
        <f t="shared" si="6"/>
        <v>0</v>
      </c>
      <c r="AY23" s="76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3">
        <f>VLOOKUP(A23,'Données projet'!$A$87:$I$107,2,0)</f>
        <v>73</v>
      </c>
      <c r="BB23" s="13">
        <f>VLOOKUP(A23,'Données projet'!$A$87:$I$107,9,0)</f>
        <v>3.65</v>
      </c>
      <c r="BC23" s="13">
        <f t="array" ref="BC23">INDEX(BB:BB,MIN(IF(ISNUMBER(BB23:BB219),ROW(BB23:BB219),"")))</f>
        <v>3.65</v>
      </c>
      <c r="BD23" s="13">
        <f>IF('Données projet'!$A$88&gt;35,BD22+BC23-BL22,IF(A23&lt;'Données projet'!$A$88,$BA$205^A23,IF(A23='Données projet'!$A$88,'Données projet'!$B$88,BD22+BC23-BL22)))</f>
        <v>73</v>
      </c>
      <c r="BE23" s="14">
        <f>BD23*VLOOKUP('Données projet'!$B$11,Paramètres!$A$1:$I$89,3,0)*VLOOKUP('Données projet'!$B$11,Paramètres!$A$1:$I$89,5,0)</f>
        <v>66.050399999999996</v>
      </c>
      <c r="BF23" s="14">
        <f t="shared" si="37"/>
        <v>18.689342126897891</v>
      </c>
      <c r="BG23" s="22">
        <f t="shared" si="7"/>
        <v>147.58838420434714</v>
      </c>
      <c r="BH23" s="60">
        <f t="shared" si="8"/>
        <v>428.69949531545831</v>
      </c>
      <c r="BI23" s="60">
        <f ca="1">AVERAGE(OFFSET($BH$3,0,0,'Données projet'!$E$11+1,1))-AVERAGE(OFFSET($H$3,0,0,'Données projet'!$E$11+1,1))</f>
        <v>529.25712986118265</v>
      </c>
      <c r="BJ23" s="60">
        <f t="shared" si="38"/>
        <v>278.21741231699929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>
        <f>EXP(-LN(2)/35)*BP22+(1-EXP(-LN(2)/35))/(LN(2)/35)*BL23*BM23*VLOOKUP('Données projet'!$B$11,Paramètres!$A$1:$I$89,3,0)*0.475*44/12</f>
        <v>0</v>
      </c>
      <c r="BQ23" s="23">
        <f>EXP(-LN(2)/25)*BQ22+(1-EXP(-LN(2)/25))/(LN(2)/25)*Calculateur!BL23*Calculateur!BN23*VLOOKUP('Données projet'!$B$11,Paramètres!$A$1:$I$89,3,0)*0.475*44/12</f>
        <v>0</v>
      </c>
      <c r="BR23" s="23">
        <f>EXP(-LN(2)/2)*BR22+(1-EXP(-LN(2)/2))/(LN(2)/2)*BL23*BO23*VLOOKUP('Données projet'!$B$11,Paramètres!$A$1:$I$89,3,0)*0.475*44/12</f>
        <v>0</v>
      </c>
      <c r="BS23" s="24">
        <f t="shared" si="9"/>
        <v>0</v>
      </c>
      <c r="BT23" s="77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3">
        <f>VLOOKUP(A23,'Données projet'!$A$113:$I$133,2,0)</f>
        <v>73</v>
      </c>
      <c r="BW23" s="13">
        <f>VLOOKUP(A23,'Données projet'!$A$113:$I$133,9,0)</f>
        <v>3.65</v>
      </c>
      <c r="BX23" s="13">
        <f t="array" ref="BX23">INDEX(BW:BW,MIN(IF(ISNUMBER(BW23:BW219),ROW(BW23:BW219),"")))</f>
        <v>3.65</v>
      </c>
      <c r="BY23" s="13">
        <f>IF('Données projet'!$A$114&gt;35,BY22+BX23-CG22,IF(A23&lt;'Données projet'!$A$114,$BV$205^A23,IF(A23='Données projet'!$A$114,'Données projet'!$B$114,BY22+BX23-CG22)))</f>
        <v>73</v>
      </c>
      <c r="BZ23" s="14">
        <f>BY23*VLOOKUP('Données projet'!$B$12,Paramètres!$A$1:$I$89,3,0)*VLOOKUP('Données projet'!$B$12,Paramètres!$A$1:$I$89,5,0)</f>
        <v>74.022000000000006</v>
      </c>
      <c r="CA23" s="14">
        <f t="shared" si="39"/>
        <v>20.668991235856851</v>
      </c>
      <c r="CB23" s="22">
        <f t="shared" si="10"/>
        <v>164.92014306911736</v>
      </c>
      <c r="CC23" s="60">
        <f t="shared" si="11"/>
        <v>446.03125418022853</v>
      </c>
      <c r="CD23" s="60">
        <f ca="1">AVERAGE(OFFSET($CC$3,0,0,'Données projet'!$E$12+1,1))-AVERAGE(OFFSET($H$3,0,0,'Données projet'!$E$12+1,1))</f>
        <v>587.74247372331615</v>
      </c>
      <c r="CE23" s="60">
        <f t="shared" si="40"/>
        <v>306.61893266146666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>
        <f>EXP(-LN(2)/35)*CK22+(1-EXP(-LN(2)/35))/(LN(2)/35)*CG23*CH23*VLOOKUP('Données projet'!$B$12,Paramètres!$A$1:$I$89,3,0)*0.475*44/12</f>
        <v>0</v>
      </c>
      <c r="CL23" s="23">
        <f>EXP(-LN(2)/25)*CL22+(1-EXP(-LN(2)/25))/(LN(2)/25)*Calculateur!CG23*Calculateur!CI23*VLOOKUP('Données projet'!$B$12,Paramètres!$A$1:$I$89,3,0)*0.475*44/12</f>
        <v>0</v>
      </c>
      <c r="CM23" s="23">
        <f>EXP(-LN(2)/2)*CM22+(1-EXP(-LN(2)/2))/(LN(2)/2)*CG23*CJ23*VLOOKUP('Données projet'!$B$12,Paramètres!$A$1:$I$89,3,0)*0.475*44/12</f>
        <v>0</v>
      </c>
      <c r="CN23" s="24">
        <f t="shared" si="12"/>
        <v>0</v>
      </c>
      <c r="CO23" s="77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3">
        <f>VLOOKUP(A23,'Données projet'!$A$139:$I$159,2,0)</f>
        <v>73</v>
      </c>
      <c r="CR23" s="13">
        <f>VLOOKUP(A23,'Données projet'!$A$139:$I$159,9,0)</f>
        <v>3.65</v>
      </c>
      <c r="CS23" s="13">
        <f t="array" ref="CS23">INDEX(CR:CR,MIN(IF(ISNUMBER(CR23:CR219),ROW(CR23:CR219),"")))</f>
        <v>3.65</v>
      </c>
      <c r="CT23" s="13">
        <f>IF('Données projet'!$A$140&gt;35,CT22+CS23-DB22,IF(A23&lt;'Données projet'!$A$140,$CQ$205^A23,IF(A23='Données projet'!$A$140,'Données projet'!$B$140,CT22+CS23-DB22)))</f>
        <v>73</v>
      </c>
      <c r="CU23" s="18">
        <f>CT23*VLOOKUP('Données projet'!$B$13,Paramètres!$A$1:$I$89,3,0)*VLOOKUP('Données projet'!$B$13,Paramètres!$A$1:$I$89,5,0)</f>
        <v>78.577200000000005</v>
      </c>
      <c r="CV23" s="14">
        <f t="shared" si="41"/>
        <v>21.788939637935243</v>
      </c>
      <c r="CW23" s="22">
        <f t="shared" si="13"/>
        <v>174.8043598694039</v>
      </c>
      <c r="CX23" s="60">
        <f t="shared" si="14"/>
        <v>455.91547098051501</v>
      </c>
      <c r="CY23" s="60">
        <f ca="1">AVERAGE(OFFSET($CX$3,0,0,'Données projet'!$E$13+1,1))-AVERAGE(OFFSET($H$3,0,0,'Données projet'!$E$13+1,1))</f>
        <v>621.10465023992288</v>
      </c>
      <c r="CZ23" s="60">
        <f t="shared" si="42"/>
        <v>322.81767004794284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>
        <f>EXP(-LN(2)/35)*DF22+(1-EXP(-LN(2)/35))/(LN(2)/35)*DB23*DC23*VLOOKUP('Données projet'!$B$13,Paramètres!$A$1:$I$89,3,0)*0.475*44/12</f>
        <v>0</v>
      </c>
      <c r="DG23" s="23">
        <f>EXP(-LN(2)/25)*DG22+(1-EXP(-LN(2)/25))/(LN(2)/25)*Calculateur!DB23*Calculateur!DD23*VLOOKUP('Données projet'!$B$13,Paramètres!$A$1:$I$89,3,0)*0.475*44/12</f>
        <v>0</v>
      </c>
      <c r="DH23" s="23">
        <f>EXP(-LN(2)/2)*DH22+(1-EXP(-LN(2)/2))/(LN(2)/2)*DB23*DE23*VLOOKUP('Données projet'!$B$13,Paramètres!$A$1:$I$89,3,0)*0.475*44/12</f>
        <v>0</v>
      </c>
      <c r="DI23" s="24">
        <f t="shared" si="15"/>
        <v>0</v>
      </c>
      <c r="DJ23" s="77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3">
        <f>VLOOKUP(A23,'Données projet'!$A$165:$I$185,2,0)</f>
        <v>73</v>
      </c>
      <c r="DM23" s="13">
        <f>VLOOKUP(A23,'Données projet'!$A$165:$I$185,9,0)</f>
        <v>3.65</v>
      </c>
      <c r="DN23" s="13">
        <f t="array" ref="DN23">INDEX(DM:DM,MIN(IF(ISNUMBER(DM23:DM219),ROW(DM23:DM219),"")))</f>
        <v>3.65</v>
      </c>
      <c r="DO23" s="13">
        <f>IF('Données projet'!$A$166&gt;35,DO22+DN23-DW22,IF(A23&lt;'Données projet'!$A$166,$DL$205^A23,IF(A23='Données projet'!$A$166,'Données projet'!$B$166,DO22+DN23-DW22)))</f>
        <v>73</v>
      </c>
      <c r="DP23" s="18">
        <f>DO23*VLOOKUP('Données projet'!$B$14,Paramètres!$A$1:$I$89,3,0)*VLOOKUP('Données projet'!$B$14,Paramètres!$A$1:$I$89,5,0)</f>
        <v>70.605599999999995</v>
      </c>
      <c r="DQ23" s="14">
        <f t="shared" si="43"/>
        <v>19.823773913828742</v>
      </c>
      <c r="DR23" s="22">
        <f t="shared" si="16"/>
        <v>157.49782623325171</v>
      </c>
      <c r="DS23" s="60">
        <f t="shared" si="17"/>
        <v>438.60893734436286</v>
      </c>
      <c r="DT23" s="60">
        <f ca="1">AVERAGE(OFFSET($DS$3,0,0,'Données projet'!$E$14+1,1))-AVERAGE(OFFSET($H$3,0,0,'Données projet'!$E$14+1,1))</f>
        <v>562.69380557620775</v>
      </c>
      <c r="DU23" s="60">
        <f t="shared" si="44"/>
        <v>294.45557293177131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>
        <f>EXP(-LN(2)/35)*EA22+(1-EXP(-LN(2)/35))/(LN(2)/35)*DW23*DX23*VLOOKUP('Données projet'!$B$14,Paramètres!$A$1:$I$89,3,0)*0.475*44/12</f>
        <v>0</v>
      </c>
      <c r="EB23" s="23">
        <f>EXP(-LN(2)/25)*EB22+(1-EXP(-LN(2)/25))/(LN(2)/25)*Calculateur!DW23*Calculateur!DY23*VLOOKUP('Données projet'!$B$14,Paramètres!$A$1:$I$89,3,0)*0.475*44/12</f>
        <v>0</v>
      </c>
      <c r="EC23" s="23">
        <f>EXP(-LN(2)/2)*EC22+(1-EXP(-LN(2)/2))/(LN(2)/2)*DW23*DZ23*VLOOKUP('Données projet'!$B$14,Paramètres!$A$1:$I$89,3,0)*0.475*44/12</f>
        <v>0</v>
      </c>
      <c r="ED23" s="24">
        <f t="shared" si="18"/>
        <v>0</v>
      </c>
      <c r="EE23" s="77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3">
        <f>VLOOKUP(A23,'Données projet'!$A$191:$I$211,2,0)</f>
        <v>88</v>
      </c>
      <c r="EH23" s="13">
        <f>VLOOKUP(A23,'Données projet'!$A$191:$I$211,9,0)</f>
        <v>9.6</v>
      </c>
      <c r="EI23" s="13">
        <f t="array" ref="EI23">INDEX(EH:EH,MIN(IF(ISNUMBER(EH23:EH219),ROW(EH23:EH219),"")))</f>
        <v>9.6</v>
      </c>
      <c r="EJ23" s="13">
        <f>IF('Données projet'!$A$192&gt;35,EJ22+EI23-ER22,IF(A23&lt;'Données projet'!$A$192,$EG$205^A23,IF(A23='Données projet'!$A$192,'Données projet'!$B$192,EJ22+EI23-ER22)))</f>
        <v>87.999999999999986</v>
      </c>
      <c r="EK23" s="18">
        <f>EJ23*VLOOKUP('Données projet'!$B$15,Paramètres!$A$1:$I$89,3,0)*VLOOKUP('Données projet'!$B$15,Paramètres!$A$1:$I$89,5,0)</f>
        <v>68.639999999999986</v>
      </c>
      <c r="EL23" s="14">
        <f t="shared" si="45"/>
        <v>19.335336956640202</v>
      </c>
      <c r="EM23" s="22">
        <f t="shared" si="19"/>
        <v>153.22371186614834</v>
      </c>
      <c r="EN23" s="60">
        <f t="shared" si="20"/>
        <v>434.33482297725948</v>
      </c>
      <c r="EO23" s="60">
        <f ca="1">AVERAGE(OFFSET($EN$3,0,0,'Données projet'!$E$15+1,1))-AVERAGE(OFFSET($H$3,0,0,'Données projet'!$E$15+1,1))</f>
        <v>292.57482726862594</v>
      </c>
      <c r="EP23" s="60">
        <f t="shared" si="46"/>
        <v>283.48738729114024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>
        <f>EXP(-LN(2)/35)*EV22+(1-EXP(-LN(2)/35))/(LN(2)/35)*ER23*ES23*VLOOKUP('Données projet'!$B$15,Paramètres!$A$1:$I$89,3,0)*0.475*44/12</f>
        <v>0</v>
      </c>
      <c r="EW23" s="23">
        <f>EXP(-LN(2)/25)*EW22+(1-EXP(-LN(2)/25))/(LN(2)/25)*Calculateur!ER23*Calculateur!ET23*VLOOKUP('Données projet'!$B$15,Paramètres!$A$1:$I$89,3,0)*0.475*44/12</f>
        <v>0</v>
      </c>
      <c r="EX23" s="23">
        <f>EXP(-LN(2)/2)*EX22+(1-EXP(-LN(2)/2))/(LN(2)/2)*ER23*EU23*VLOOKUP('Données projet'!$B$15,Paramètres!$A$1:$I$89,3,0)*0.475*44/12</f>
        <v>0</v>
      </c>
      <c r="EY23" s="24">
        <f t="shared" si="21"/>
        <v>0</v>
      </c>
      <c r="EZ23" s="77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0" t="e">
        <f t="shared" si="23"/>
        <v>#N/A</v>
      </c>
      <c r="FJ23" s="60" t="e">
        <f ca="1">AVERAGE(OFFSET($FI$3,0,0,'Données projet'!$E$16+1,1))-AVERAGE(OFFSET($H$3,0,0,'Données projet'!$E$16+1,1))</f>
        <v>#N/A</v>
      </c>
      <c r="FK23" s="60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77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0" t="e">
        <f t="shared" si="26"/>
        <v>#N/A</v>
      </c>
      <c r="GE23" s="60" t="e">
        <f ca="1">AVERAGE(OFFSET($GD$3,0,0,'Données projet'!$E$17+1,1))-AVERAGE(OFFSET($H$3,0,0,'Données projet'!$E$17+1,1))</f>
        <v>#N/A</v>
      </c>
      <c r="GF23" s="60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77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0" t="e">
        <f t="shared" si="29"/>
        <v>#N/A</v>
      </c>
      <c r="GZ23" s="60" t="e">
        <f ca="1">AVERAGE(OFFSET($GY$3,0,0,'Données projet'!$E$18+1,1))-AVERAGE(OFFSET($H$3,0,0,'Données projet'!$E$18+1,1))</f>
        <v>#N/A</v>
      </c>
      <c r="HA23" s="60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25">
      <c r="A24" s="11">
        <f t="shared" si="31"/>
        <v>21</v>
      </c>
      <c r="B24" s="74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2">
        <f t="shared" si="32"/>
        <v>0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0</v>
      </c>
      <c r="H24" s="67">
        <f t="shared" si="1"/>
        <v>256.66666666666669</v>
      </c>
      <c r="I24" s="7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7.5641025641025648</v>
      </c>
      <c r="N24" s="14">
        <f>IF('Données projet'!$A$36&gt;35,N23+M24-V23,IF(A24&lt;'Données projet'!$A$36,$K$205^A24,IF(A24='Données projet'!$A$36,'Données projet'!$B$36,N23+M24-V23)))</f>
        <v>71.025641025641022</v>
      </c>
      <c r="O24" s="14">
        <f>N24*VLOOKUP('Données projet'!$B$9,Paramètres!$A$1:$I$89,3,0)*VLOOKUP('Données projet'!$B$9,Paramètres!$A$1:$I$89,5,0)</f>
        <v>67.587999999999994</v>
      </c>
      <c r="P24" s="14">
        <f t="shared" si="33"/>
        <v>19.073256065008206</v>
      </c>
      <c r="Q24" s="22">
        <f t="shared" si="2"/>
        <v>150.93502097988929</v>
      </c>
      <c r="R24" s="60">
        <f t="shared" si="0"/>
        <v>433.26835431322263</v>
      </c>
      <c r="S24" s="60">
        <f ca="1">AVERAGE(OFFSET($R$3,0,0,'Données projet'!$E$9+1,1))-AVERAGE(OFFSET($H$3,0,0,'Données projet'!$E$9+1,1))</f>
        <v>403.49781966317852</v>
      </c>
      <c r="T24" s="60">
        <f t="shared" si="34"/>
        <v>326.06674572505409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0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0</v>
      </c>
      <c r="AC24" s="24">
        <f t="shared" si="3"/>
        <v>0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10</v>
      </c>
      <c r="AI24" s="14">
        <f>IF('Données projet'!$A$62&gt;35,AI23+AH24-AQ23,IF(A24&lt;'Données projet'!$A$62,$AF$205^A24,IF(A24='Données projet'!$A$62,'Données projet'!$B$62,AI23+AH24-AQ23)))</f>
        <v>67</v>
      </c>
      <c r="AJ24" s="14">
        <f>AI24*VLOOKUP('Données projet'!$B$10,Paramètres!$A$1:$I$89,3,0)*VLOOKUP('Données projet'!$B$10,Paramètres!$A$1:$I$89,5,0)</f>
        <v>58.531200000000005</v>
      </c>
      <c r="AK24" s="14">
        <f t="shared" si="35"/>
        <v>16.796376317470752</v>
      </c>
      <c r="AL24" s="22">
        <f t="shared" si="4"/>
        <v>131.19552875292825</v>
      </c>
      <c r="AM24" s="60">
        <f t="shared" si="5"/>
        <v>413.5288620862616</v>
      </c>
      <c r="AN24" s="60">
        <f ca="1">AVERAGE(OFFSET($AM$3,0,0,'Données projet'!$E$10+1,1))-AVERAGE(OFFSET($H$3,0,0,'Données projet'!$E$10+1,1))</f>
        <v>274.66236526869056</v>
      </c>
      <c r="AO24" s="60">
        <f t="shared" si="36"/>
        <v>256.90876395053073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>
        <f>EXP(-LN(2)/35)*AU23+(1-EXP(-LN(2)/35))/(LN(2)/35)*AQ24*AR24*VLOOKUP('Données projet'!$B$10,Paramètres!$A$1:$I$89,3,0)*0.475*44/12</f>
        <v>0</v>
      </c>
      <c r="AV24" s="23">
        <f>EXP(-LN(2)/25)*AV23+(1-EXP(-LN(2)/25))/(LN(2)/25)*Calculateur!AQ24*Calculateur!AS24*VLOOKUP('Données projet'!$B$10,Paramètres!$A$1:$I$89,3,0)*0.475*44/12</f>
        <v>0</v>
      </c>
      <c r="AW24" s="23">
        <f>EXP(-LN(2)/2)*AW23+(1-EXP(-LN(2)/2))/(LN(2)/2)*AQ24*AT24*VLOOKUP('Données projet'!$B$10,Paramètres!$A$1:$I$89,3,0)*0.475*44/12</f>
        <v>0</v>
      </c>
      <c r="AX24" s="23">
        <f t="shared" si="6"/>
        <v>0</v>
      </c>
      <c r="AY24" s="76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7.2</v>
      </c>
      <c r="BD24" s="13">
        <f>IF('Données projet'!$A$88&gt;35,BD23+BC24-BL23,IF(A24&lt;'Données projet'!$A$88,$BA$205^A24,IF(A24='Données projet'!$A$88,'Données projet'!$B$88,BD23+BC24-BL23)))</f>
        <v>80.2</v>
      </c>
      <c r="BE24" s="14">
        <f>BD24*VLOOKUP('Données projet'!$B$11,Paramètres!$A$1:$I$89,3,0)*VLOOKUP('Données projet'!$B$11,Paramètres!$A$1:$I$89,5,0)</f>
        <v>72.564959999999999</v>
      </c>
      <c r="BF24" s="14">
        <f t="shared" si="37"/>
        <v>20.30908732150932</v>
      </c>
      <c r="BG24" s="22">
        <f t="shared" si="7"/>
        <v>161.75563241829539</v>
      </c>
      <c r="BH24" s="60">
        <f t="shared" si="8"/>
        <v>444.08896575162873</v>
      </c>
      <c r="BI24" s="60">
        <f ca="1">AVERAGE(OFFSET($BH$3,0,0,'Données projet'!$E$11+1,1))-AVERAGE(OFFSET($H$3,0,0,'Données projet'!$E$11+1,1))</f>
        <v>529.25712986118265</v>
      </c>
      <c r="BJ24" s="60">
        <f t="shared" si="38"/>
        <v>278.21741231699929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>
        <f>EXP(-LN(2)/35)*BP23+(1-EXP(-LN(2)/35))/(LN(2)/35)*BL24*BM24*VLOOKUP('Données projet'!$B$11,Paramètres!$A$1:$I$89,3,0)*0.475*44/12</f>
        <v>0</v>
      </c>
      <c r="BQ24" s="23">
        <f>EXP(-LN(2)/25)*BQ23+(1-EXP(-LN(2)/25))/(LN(2)/25)*Calculateur!BL24*Calculateur!BN24*VLOOKUP('Données projet'!$B$11,Paramètres!$A$1:$I$89,3,0)*0.475*44/12</f>
        <v>0</v>
      </c>
      <c r="BR24" s="23">
        <f>EXP(-LN(2)/2)*BR23+(1-EXP(-LN(2)/2))/(LN(2)/2)*BL24*BO24*VLOOKUP('Données projet'!$B$11,Paramètres!$A$1:$I$89,3,0)*0.475*44/12</f>
        <v>0</v>
      </c>
      <c r="BS24" s="24">
        <f t="shared" si="9"/>
        <v>0</v>
      </c>
      <c r="BT24" s="77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7.2</v>
      </c>
      <c r="BY24" s="13">
        <f>IF('Données projet'!$A$114&gt;35,BY23+BX24-CG23,IF(A24&lt;'Données projet'!$A$114,$BV$205^A24,IF(A24='Données projet'!$A$114,'Données projet'!$B$114,BY23+BX24-CG23)))</f>
        <v>80.2</v>
      </c>
      <c r="BZ24" s="14">
        <f>BY24*VLOOKUP('Données projet'!$B$12,Paramètres!$A$1:$I$89,3,0)*VLOOKUP('Données projet'!$B$12,Paramètres!$A$1:$I$89,5,0)</f>
        <v>81.322800000000001</v>
      </c>
      <c r="CA24" s="14">
        <f t="shared" si="39"/>
        <v>22.460306254032997</v>
      </c>
      <c r="CB24" s="22">
        <f t="shared" si="10"/>
        <v>180.75557672577415</v>
      </c>
      <c r="CC24" s="60">
        <f t="shared" si="11"/>
        <v>463.08891005910743</v>
      </c>
      <c r="CD24" s="60">
        <f ca="1">AVERAGE(OFFSET($CC$3,0,0,'Données projet'!$E$12+1,1))-AVERAGE(OFFSET($H$3,0,0,'Données projet'!$E$12+1,1))</f>
        <v>587.74247372331615</v>
      </c>
      <c r="CE24" s="60">
        <f t="shared" si="40"/>
        <v>306.61893266146666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>
        <f>EXP(-LN(2)/35)*CK23+(1-EXP(-LN(2)/35))/(LN(2)/35)*CG24*CH24*VLOOKUP('Données projet'!$B$12,Paramètres!$A$1:$I$89,3,0)*0.475*44/12</f>
        <v>0</v>
      </c>
      <c r="CL24" s="23">
        <f>EXP(-LN(2)/25)*CL23+(1-EXP(-LN(2)/25))/(LN(2)/25)*Calculateur!CG24*Calculateur!CI24*VLOOKUP('Données projet'!$B$12,Paramètres!$A$1:$I$89,3,0)*0.475*44/12</f>
        <v>0</v>
      </c>
      <c r="CM24" s="23">
        <f>EXP(-LN(2)/2)*CM23+(1-EXP(-LN(2)/2))/(LN(2)/2)*CG24*CJ24*VLOOKUP('Données projet'!$B$12,Paramètres!$A$1:$I$89,3,0)*0.475*44/12</f>
        <v>0</v>
      </c>
      <c r="CN24" s="24">
        <f t="shared" si="12"/>
        <v>0</v>
      </c>
      <c r="CO24" s="77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7.2</v>
      </c>
      <c r="CT24" s="13">
        <f>IF('Données projet'!$A$140&gt;35,CT23+CS24-DB23,IF(A24&lt;'Données projet'!$A$140,$CQ$205^A24,IF(A24='Données projet'!$A$140,'Données projet'!$B$140,CT23+CS24-DB23)))</f>
        <v>80.2</v>
      </c>
      <c r="CU24" s="18">
        <f>CT24*VLOOKUP('Données projet'!$B$13,Paramètres!$A$1:$I$89,3,0)*VLOOKUP('Données projet'!$B$13,Paramètres!$A$1:$I$89,5,0)</f>
        <v>86.327280000000002</v>
      </c>
      <c r="CV24" s="14">
        <f t="shared" si="41"/>
        <v>23.677316983408026</v>
      </c>
      <c r="CW24" s="22">
        <f t="shared" si="13"/>
        <v>191.59133974610231</v>
      </c>
      <c r="CX24" s="60">
        <f t="shared" si="14"/>
        <v>473.92467307943559</v>
      </c>
      <c r="CY24" s="60">
        <f ca="1">AVERAGE(OFFSET($CX$3,0,0,'Données projet'!$E$13+1,1))-AVERAGE(OFFSET($H$3,0,0,'Données projet'!$E$13+1,1))</f>
        <v>621.10465023992288</v>
      </c>
      <c r="CZ24" s="60">
        <f t="shared" si="42"/>
        <v>322.81767004794284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>
        <f>EXP(-LN(2)/35)*DF23+(1-EXP(-LN(2)/35))/(LN(2)/35)*DB24*DC24*VLOOKUP('Données projet'!$B$13,Paramètres!$A$1:$I$89,3,0)*0.475*44/12</f>
        <v>0</v>
      </c>
      <c r="DG24" s="23">
        <f>EXP(-LN(2)/25)*DG23+(1-EXP(-LN(2)/25))/(LN(2)/25)*Calculateur!DB24*Calculateur!DD24*VLOOKUP('Données projet'!$B$13,Paramètres!$A$1:$I$89,3,0)*0.475*44/12</f>
        <v>0</v>
      </c>
      <c r="DH24" s="23">
        <f>EXP(-LN(2)/2)*DH23+(1-EXP(-LN(2)/2))/(LN(2)/2)*DB24*DE24*VLOOKUP('Données projet'!$B$13,Paramètres!$A$1:$I$89,3,0)*0.475*44/12</f>
        <v>0</v>
      </c>
      <c r="DI24" s="24">
        <f t="shared" si="15"/>
        <v>0</v>
      </c>
      <c r="DJ24" s="77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7.2</v>
      </c>
      <c r="DO24" s="13">
        <f>IF('Données projet'!$A$166&gt;35,DO23+DN24-DW23,IF(A24&lt;'Données projet'!$A$166,$DL$205^A24,IF(A24='Données projet'!$A$166,'Données projet'!$B$166,DO23+DN24-DW23)))</f>
        <v>80.2</v>
      </c>
      <c r="DP24" s="18">
        <f>DO24*VLOOKUP('Données projet'!$B$14,Paramètres!$A$1:$I$89,3,0)*VLOOKUP('Données projet'!$B$14,Paramètres!$A$1:$I$89,5,0)</f>
        <v>77.569440000000014</v>
      </c>
      <c r="DQ24" s="14">
        <f t="shared" si="43"/>
        <v>21.541836664136856</v>
      </c>
      <c r="DR24" s="22">
        <f t="shared" si="16"/>
        <v>172.61880685670505</v>
      </c>
      <c r="DS24" s="60">
        <f t="shared" si="17"/>
        <v>454.95214019003834</v>
      </c>
      <c r="DT24" s="60">
        <f ca="1">AVERAGE(OFFSET($DS$3,0,0,'Données projet'!$E$14+1,1))-AVERAGE(OFFSET($H$3,0,0,'Données projet'!$E$14+1,1))</f>
        <v>562.69380557620775</v>
      </c>
      <c r="DU24" s="60">
        <f t="shared" si="44"/>
        <v>294.45557293177131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>
        <f>EXP(-LN(2)/35)*EA23+(1-EXP(-LN(2)/35))/(LN(2)/35)*DW24*DX24*VLOOKUP('Données projet'!$B$14,Paramètres!$A$1:$I$89,3,0)*0.475*44/12</f>
        <v>0</v>
      </c>
      <c r="EB24" s="23">
        <f>EXP(-LN(2)/25)*EB23+(1-EXP(-LN(2)/25))/(LN(2)/25)*Calculateur!DW24*Calculateur!DY24*VLOOKUP('Données projet'!$B$14,Paramètres!$A$1:$I$89,3,0)*0.475*44/12</f>
        <v>0</v>
      </c>
      <c r="EC24" s="23">
        <f>EXP(-LN(2)/2)*EC23+(1-EXP(-LN(2)/2))/(LN(2)/2)*DW24*DZ24*VLOOKUP('Données projet'!$B$14,Paramètres!$A$1:$I$89,3,0)*0.475*44/12</f>
        <v>0</v>
      </c>
      <c r="ED24" s="24">
        <f t="shared" si="18"/>
        <v>0</v>
      </c>
      <c r="EE24" s="77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10.6</v>
      </c>
      <c r="EJ24" s="13">
        <f>IF('Données projet'!$A$192&gt;35,EJ23+EI24-ER23,IF(A24&lt;'Données projet'!$A$192,$EG$205^A24,IF(A24='Données projet'!$A$192,'Données projet'!$B$192,EJ23+EI24-ER23)))</f>
        <v>98.59999999999998</v>
      </c>
      <c r="EK24" s="18">
        <f>EJ24*VLOOKUP('Données projet'!$B$15,Paramètres!$A$1:$I$89,3,0)*VLOOKUP('Données projet'!$B$15,Paramètres!$A$1:$I$89,5,0)</f>
        <v>76.907999999999987</v>
      </c>
      <c r="EL24" s="14">
        <f t="shared" si="45"/>
        <v>21.379448490435635</v>
      </c>
      <c r="EM24" s="22">
        <f t="shared" si="19"/>
        <v>171.18397278750868</v>
      </c>
      <c r="EN24" s="60">
        <f t="shared" si="20"/>
        <v>453.51730612084202</v>
      </c>
      <c r="EO24" s="60">
        <f ca="1">AVERAGE(OFFSET($EN$3,0,0,'Données projet'!$E$15+1,1))-AVERAGE(OFFSET($H$3,0,0,'Données projet'!$E$15+1,1))</f>
        <v>292.57482726862594</v>
      </c>
      <c r="EP24" s="60">
        <f t="shared" si="46"/>
        <v>283.48738729114024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>
        <f>EXP(-LN(2)/35)*EV23+(1-EXP(-LN(2)/35))/(LN(2)/35)*ER24*ES24*VLOOKUP('Données projet'!$B$15,Paramètres!$A$1:$I$89,3,0)*0.475*44/12</f>
        <v>0</v>
      </c>
      <c r="EW24" s="23">
        <f>EXP(-LN(2)/25)*EW23+(1-EXP(-LN(2)/25))/(LN(2)/25)*Calculateur!ER24*Calculateur!ET24*VLOOKUP('Données projet'!$B$15,Paramètres!$A$1:$I$89,3,0)*0.475*44/12</f>
        <v>0</v>
      </c>
      <c r="EX24" s="23">
        <f>EXP(-LN(2)/2)*EX23+(1-EXP(-LN(2)/2))/(LN(2)/2)*ER24*EU24*VLOOKUP('Données projet'!$B$15,Paramètres!$A$1:$I$89,3,0)*0.475*44/12</f>
        <v>0</v>
      </c>
      <c r="EY24" s="24">
        <f t="shared" si="21"/>
        <v>0</v>
      </c>
      <c r="EZ24" s="77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0" t="e">
        <f t="shared" si="23"/>
        <v>#N/A</v>
      </c>
      <c r="FJ24" s="60" t="e">
        <f ca="1">AVERAGE(OFFSET($FI$3,0,0,'Données projet'!$E$16+1,1))-AVERAGE(OFFSET($H$3,0,0,'Données projet'!$E$16+1,1))</f>
        <v>#N/A</v>
      </c>
      <c r="FK24" s="60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77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0" t="e">
        <f t="shared" si="26"/>
        <v>#N/A</v>
      </c>
      <c r="GE24" s="60" t="e">
        <f ca="1">AVERAGE(OFFSET($GD$3,0,0,'Données projet'!$E$17+1,1))-AVERAGE(OFFSET($H$3,0,0,'Données projet'!$E$17+1,1))</f>
        <v>#N/A</v>
      </c>
      <c r="GF24" s="60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77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0" t="e">
        <f t="shared" si="29"/>
        <v>#N/A</v>
      </c>
      <c r="GZ24" s="60" t="e">
        <f ca="1">AVERAGE(OFFSET($GY$3,0,0,'Données projet'!$E$18+1,1))-AVERAGE(OFFSET($H$3,0,0,'Données projet'!$E$18+1,1))</f>
        <v>#N/A</v>
      </c>
      <c r="HA24" s="60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25">
      <c r="A25" s="11">
        <f t="shared" si="31"/>
        <v>22</v>
      </c>
      <c r="B25" s="74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2">
        <f t="shared" si="32"/>
        <v>0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0</v>
      </c>
      <c r="H25" s="67">
        <f t="shared" si="1"/>
        <v>256.66666666666669</v>
      </c>
      <c r="I25" s="7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7.5641025641025648</v>
      </c>
      <c r="N25" s="14">
        <f>IF('Données projet'!$A$36&gt;35,N24+M25-V24,IF(A25&lt;'Données projet'!$A$36,$K$205^A25,IF(A25='Données projet'!$A$36,'Données projet'!$B$36,N24+M25-V24)))</f>
        <v>78.589743589743591</v>
      </c>
      <c r="O25" s="14">
        <f>N25*VLOOKUP('Données projet'!$B$9,Paramètres!$A$1:$I$89,3,0)*VLOOKUP('Données projet'!$B$9,Paramètres!$A$1:$I$89,5,0)</f>
        <v>74.786000000000001</v>
      </c>
      <c r="P25" s="14">
        <f t="shared" si="33"/>
        <v>20.857376778776572</v>
      </c>
      <c r="Q25" s="22">
        <f t="shared" si="2"/>
        <v>166.57888122303586</v>
      </c>
      <c r="R25" s="60">
        <f t="shared" si="0"/>
        <v>450.13443677859141</v>
      </c>
      <c r="S25" s="60">
        <f ca="1">AVERAGE(OFFSET($R$3,0,0,'Données projet'!$E$9+1,1))-AVERAGE(OFFSET($H$3,0,0,'Données projet'!$E$9+1,1))</f>
        <v>403.49781966317852</v>
      </c>
      <c r="T25" s="60">
        <f t="shared" si="34"/>
        <v>326.06674572505409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0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0</v>
      </c>
      <c r="AC25" s="24">
        <f t="shared" si="3"/>
        <v>0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10</v>
      </c>
      <c r="AI25" s="14">
        <f>IF('Données projet'!$A$62&gt;35,AI24+AH25-AQ24,IF(A25&lt;'Données projet'!$A$62,$AF$205^A25,IF(A25='Données projet'!$A$62,'Données projet'!$B$62,AI24+AH25-AQ24)))</f>
        <v>77</v>
      </c>
      <c r="AJ25" s="14">
        <f>AI25*VLOOKUP('Données projet'!$B$10,Paramètres!$A$1:$I$89,3,0)*VLOOKUP('Données projet'!$B$10,Paramètres!$A$1:$I$89,5,0)</f>
        <v>67.267200000000003</v>
      </c>
      <c r="AK25" s="14">
        <f t="shared" si="35"/>
        <v>18.993242158132926</v>
      </c>
      <c r="AL25" s="22">
        <f t="shared" si="4"/>
        <v>150.23693675874819</v>
      </c>
      <c r="AM25" s="60">
        <f t="shared" si="5"/>
        <v>433.79249231430373</v>
      </c>
      <c r="AN25" s="60">
        <f ca="1">AVERAGE(OFFSET($AM$3,0,0,'Données projet'!$E$10+1,1))-AVERAGE(OFFSET($H$3,0,0,'Données projet'!$E$10+1,1))</f>
        <v>274.66236526869056</v>
      </c>
      <c r="AO25" s="60">
        <f t="shared" si="36"/>
        <v>256.90876395053073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>
        <f>EXP(-LN(2)/35)*AU24+(1-EXP(-LN(2)/35))/(LN(2)/35)*AQ25*AR25*VLOOKUP('Données projet'!$B$10,Paramètres!$A$1:$I$89,3,0)*0.475*44/12</f>
        <v>0</v>
      </c>
      <c r="AV25" s="23">
        <f>EXP(-LN(2)/25)*AV24+(1-EXP(-LN(2)/25))/(LN(2)/25)*Calculateur!AQ25*Calculateur!AS25*VLOOKUP('Données projet'!$B$10,Paramètres!$A$1:$I$89,3,0)*0.475*44/12</f>
        <v>0</v>
      </c>
      <c r="AW25" s="23">
        <f>EXP(-LN(2)/2)*AW24+(1-EXP(-LN(2)/2))/(LN(2)/2)*AQ25*AT25*VLOOKUP('Données projet'!$B$10,Paramètres!$A$1:$I$89,3,0)*0.475*44/12</f>
        <v>0</v>
      </c>
      <c r="AX25" s="23">
        <f t="shared" si="6"/>
        <v>0</v>
      </c>
      <c r="AY25" s="76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7.2</v>
      </c>
      <c r="BD25" s="13">
        <f>IF('Données projet'!$A$88&gt;35,BD24+BC25-BL24,IF(A25&lt;'Données projet'!$A$88,$BA$205^A25,IF(A25='Données projet'!$A$88,'Données projet'!$B$88,BD24+BC25-BL24)))</f>
        <v>87.4</v>
      </c>
      <c r="BE25" s="14">
        <f>BD25*VLOOKUP('Données projet'!$B$11,Paramètres!$A$1:$I$89,3,0)*VLOOKUP('Données projet'!$B$11,Paramètres!$A$1:$I$89,5,0)</f>
        <v>79.079520000000002</v>
      </c>
      <c r="BF25" s="14">
        <f t="shared" si="37"/>
        <v>21.911970621402002</v>
      </c>
      <c r="BG25" s="22">
        <f t="shared" si="7"/>
        <v>175.89351283227515</v>
      </c>
      <c r="BH25" s="60">
        <f t="shared" si="8"/>
        <v>459.44906838783072</v>
      </c>
      <c r="BI25" s="60">
        <f ca="1">AVERAGE(OFFSET($BH$3,0,0,'Données projet'!$E$11+1,1))-AVERAGE(OFFSET($H$3,0,0,'Données projet'!$E$11+1,1))</f>
        <v>529.25712986118265</v>
      </c>
      <c r="BJ25" s="60">
        <f t="shared" si="38"/>
        <v>278.21741231699929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>
        <f>EXP(-LN(2)/35)*BP24+(1-EXP(-LN(2)/35))/(LN(2)/35)*BL25*BM25*VLOOKUP('Données projet'!$B$11,Paramètres!$A$1:$I$89,3,0)*0.475*44/12</f>
        <v>0</v>
      </c>
      <c r="BQ25" s="23">
        <f>EXP(-LN(2)/25)*BQ24+(1-EXP(-LN(2)/25))/(LN(2)/25)*Calculateur!BL25*Calculateur!BN25*VLOOKUP('Données projet'!$B$11,Paramètres!$A$1:$I$89,3,0)*0.475*44/12</f>
        <v>0</v>
      </c>
      <c r="BR25" s="23">
        <f>EXP(-LN(2)/2)*BR24+(1-EXP(-LN(2)/2))/(LN(2)/2)*BL25*BO25*VLOOKUP('Données projet'!$B$11,Paramètres!$A$1:$I$89,3,0)*0.475*44/12</f>
        <v>0</v>
      </c>
      <c r="BS25" s="24">
        <f t="shared" si="9"/>
        <v>0</v>
      </c>
      <c r="BT25" s="77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7.2</v>
      </c>
      <c r="BY25" s="13">
        <f>IF('Données projet'!$A$114&gt;35,BY24+BX25-CG24,IF(A25&lt;'Données projet'!$A$114,$BV$205^A25,IF(A25='Données projet'!$A$114,'Données projet'!$B$114,BY24+BX25-CG24)))</f>
        <v>87.4</v>
      </c>
      <c r="BZ25" s="14">
        <f>BY25*VLOOKUP('Données projet'!$B$12,Paramètres!$A$1:$I$89,3,0)*VLOOKUP('Données projet'!$B$12,Paramètres!$A$1:$I$89,5,0)</f>
        <v>88.62360000000001</v>
      </c>
      <c r="CA25" s="14">
        <f t="shared" si="39"/>
        <v>24.232973298845781</v>
      </c>
      <c r="CB25" s="22">
        <f t="shared" si="10"/>
        <v>196.55853182882308</v>
      </c>
      <c r="CC25" s="60">
        <f t="shared" si="11"/>
        <v>480.11408738437865</v>
      </c>
      <c r="CD25" s="60">
        <f ca="1">AVERAGE(OFFSET($CC$3,0,0,'Données projet'!$E$12+1,1))-AVERAGE(OFFSET($H$3,0,0,'Données projet'!$E$12+1,1))</f>
        <v>587.74247372331615</v>
      </c>
      <c r="CE25" s="60">
        <f t="shared" si="40"/>
        <v>306.61893266146666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>
        <f>EXP(-LN(2)/35)*CK24+(1-EXP(-LN(2)/35))/(LN(2)/35)*CG25*CH25*VLOOKUP('Données projet'!$B$12,Paramètres!$A$1:$I$89,3,0)*0.475*44/12</f>
        <v>0</v>
      </c>
      <c r="CL25" s="23">
        <f>EXP(-LN(2)/25)*CL24+(1-EXP(-LN(2)/25))/(LN(2)/25)*Calculateur!CG25*Calculateur!CI25*VLOOKUP('Données projet'!$B$12,Paramètres!$A$1:$I$89,3,0)*0.475*44/12</f>
        <v>0</v>
      </c>
      <c r="CM25" s="23">
        <f>EXP(-LN(2)/2)*CM24+(1-EXP(-LN(2)/2))/(LN(2)/2)*CG25*CJ25*VLOOKUP('Données projet'!$B$12,Paramètres!$A$1:$I$89,3,0)*0.475*44/12</f>
        <v>0</v>
      </c>
      <c r="CN25" s="24">
        <f t="shared" si="12"/>
        <v>0</v>
      </c>
      <c r="CO25" s="77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7.2</v>
      </c>
      <c r="CT25" s="13">
        <f>IF('Données projet'!$A$140&gt;35,CT24+CS25-DB24,IF(A25&lt;'Données projet'!$A$140,$CQ$205^A25,IF(A25='Données projet'!$A$140,'Données projet'!$B$140,CT24+CS25-DB24)))</f>
        <v>87.4</v>
      </c>
      <c r="CU25" s="18">
        <f>CT25*VLOOKUP('Données projet'!$B$13,Paramètres!$A$1:$I$89,3,0)*VLOOKUP('Données projet'!$B$13,Paramètres!$A$1:$I$89,5,0)</f>
        <v>94.077359999999999</v>
      </c>
      <c r="CV25" s="14">
        <f t="shared" si="41"/>
        <v>25.546035915881891</v>
      </c>
      <c r="CW25" s="22">
        <f t="shared" si="13"/>
        <v>208.34408122016092</v>
      </c>
      <c r="CX25" s="60">
        <f t="shared" si="14"/>
        <v>491.89963677571643</v>
      </c>
      <c r="CY25" s="60">
        <f ca="1">AVERAGE(OFFSET($CX$3,0,0,'Données projet'!$E$13+1,1))-AVERAGE(OFFSET($H$3,0,0,'Données projet'!$E$13+1,1))</f>
        <v>621.10465023992288</v>
      </c>
      <c r="CZ25" s="60">
        <f t="shared" si="42"/>
        <v>322.81767004794284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>
        <f>EXP(-LN(2)/35)*DF24+(1-EXP(-LN(2)/35))/(LN(2)/35)*DB25*DC25*VLOOKUP('Données projet'!$B$13,Paramètres!$A$1:$I$89,3,0)*0.475*44/12</f>
        <v>0</v>
      </c>
      <c r="DG25" s="23">
        <f>EXP(-LN(2)/25)*DG24+(1-EXP(-LN(2)/25))/(LN(2)/25)*Calculateur!DB25*Calculateur!DD25*VLOOKUP('Données projet'!$B$13,Paramètres!$A$1:$I$89,3,0)*0.475*44/12</f>
        <v>0</v>
      </c>
      <c r="DH25" s="23">
        <f>EXP(-LN(2)/2)*DH24+(1-EXP(-LN(2)/2))/(LN(2)/2)*DB25*DE25*VLOOKUP('Données projet'!$B$13,Paramètres!$A$1:$I$89,3,0)*0.475*44/12</f>
        <v>0</v>
      </c>
      <c r="DI25" s="24">
        <f t="shared" si="15"/>
        <v>0</v>
      </c>
      <c r="DJ25" s="77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7.2</v>
      </c>
      <c r="DO25" s="13">
        <f>IF('Données projet'!$A$166&gt;35,DO24+DN25-DW24,IF(A25&lt;'Données projet'!$A$166,$DL$205^A25,IF(A25='Données projet'!$A$166,'Données projet'!$B$166,DO24+DN25-DW24)))</f>
        <v>87.4</v>
      </c>
      <c r="DP25" s="18">
        <f>DO25*VLOOKUP('Données projet'!$B$14,Paramètres!$A$1:$I$89,3,0)*VLOOKUP('Données projet'!$B$14,Paramètres!$A$1:$I$89,5,0)</f>
        <v>84.533280000000005</v>
      </c>
      <c r="DQ25" s="14">
        <f t="shared" si="43"/>
        <v>23.242014012893971</v>
      </c>
      <c r="DR25" s="22">
        <f t="shared" si="16"/>
        <v>187.70863707245701</v>
      </c>
      <c r="DS25" s="60">
        <f t="shared" si="17"/>
        <v>471.26419262801255</v>
      </c>
      <c r="DT25" s="60">
        <f ca="1">AVERAGE(OFFSET($DS$3,0,0,'Données projet'!$E$14+1,1))-AVERAGE(OFFSET($H$3,0,0,'Données projet'!$E$14+1,1))</f>
        <v>562.69380557620775</v>
      </c>
      <c r="DU25" s="60">
        <f t="shared" si="44"/>
        <v>294.45557293177131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>
        <f>EXP(-LN(2)/35)*EA24+(1-EXP(-LN(2)/35))/(LN(2)/35)*DW25*DX25*VLOOKUP('Données projet'!$B$14,Paramètres!$A$1:$I$89,3,0)*0.475*44/12</f>
        <v>0</v>
      </c>
      <c r="EB25" s="23">
        <f>EXP(-LN(2)/25)*EB24+(1-EXP(-LN(2)/25))/(LN(2)/25)*Calculateur!DW25*Calculateur!DY25*VLOOKUP('Données projet'!$B$14,Paramètres!$A$1:$I$89,3,0)*0.475*44/12</f>
        <v>0</v>
      </c>
      <c r="EC25" s="23">
        <f>EXP(-LN(2)/2)*EC24+(1-EXP(-LN(2)/2))/(LN(2)/2)*DW25*DZ25*VLOOKUP('Données projet'!$B$14,Paramètres!$A$1:$I$89,3,0)*0.475*44/12</f>
        <v>0</v>
      </c>
      <c r="ED25" s="24">
        <f t="shared" si="18"/>
        <v>0</v>
      </c>
      <c r="EE25" s="77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10.6</v>
      </c>
      <c r="EJ25" s="13">
        <f>IF('Données projet'!$A$192&gt;35,EJ24+EI25-ER24,IF(A25&lt;'Données projet'!$A$192,$EG$205^A25,IF(A25='Données projet'!$A$192,'Données projet'!$B$192,EJ24+EI25-ER24)))</f>
        <v>109.19999999999997</v>
      </c>
      <c r="EK25" s="18">
        <f>EJ25*VLOOKUP('Données projet'!$B$15,Paramètres!$A$1:$I$89,3,0)*VLOOKUP('Données projet'!$B$15,Paramètres!$A$1:$I$89,5,0)</f>
        <v>85.175999999999988</v>
      </c>
      <c r="EL25" s="14">
        <f t="shared" si="45"/>
        <v>23.398088487656434</v>
      </c>
      <c r="EM25" s="22">
        <f t="shared" si="19"/>
        <v>189.09987078266826</v>
      </c>
      <c r="EN25" s="60">
        <f t="shared" si="20"/>
        <v>472.65542633822383</v>
      </c>
      <c r="EO25" s="60">
        <f ca="1">AVERAGE(OFFSET($EN$3,0,0,'Données projet'!$E$15+1,1))-AVERAGE(OFFSET($H$3,0,0,'Données projet'!$E$15+1,1))</f>
        <v>292.57482726862594</v>
      </c>
      <c r="EP25" s="60">
        <f t="shared" si="46"/>
        <v>283.48738729114024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>
        <f>EXP(-LN(2)/35)*EV24+(1-EXP(-LN(2)/35))/(LN(2)/35)*ER25*ES25*VLOOKUP('Données projet'!$B$15,Paramètres!$A$1:$I$89,3,0)*0.475*44/12</f>
        <v>0</v>
      </c>
      <c r="EW25" s="23">
        <f>EXP(-LN(2)/25)*EW24+(1-EXP(-LN(2)/25))/(LN(2)/25)*Calculateur!ER25*Calculateur!ET25*VLOOKUP('Données projet'!$B$15,Paramètres!$A$1:$I$89,3,0)*0.475*44/12</f>
        <v>0</v>
      </c>
      <c r="EX25" s="23">
        <f>EXP(-LN(2)/2)*EX24+(1-EXP(-LN(2)/2))/(LN(2)/2)*ER25*EU25*VLOOKUP('Données projet'!$B$15,Paramètres!$A$1:$I$89,3,0)*0.475*44/12</f>
        <v>0</v>
      </c>
      <c r="EY25" s="24">
        <f t="shared" si="21"/>
        <v>0</v>
      </c>
      <c r="EZ25" s="77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0" t="e">
        <f t="shared" si="23"/>
        <v>#N/A</v>
      </c>
      <c r="FJ25" s="60" t="e">
        <f ca="1">AVERAGE(OFFSET($FI$3,0,0,'Données projet'!$E$16+1,1))-AVERAGE(OFFSET($H$3,0,0,'Données projet'!$E$16+1,1))</f>
        <v>#N/A</v>
      </c>
      <c r="FK25" s="60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77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0" t="e">
        <f t="shared" si="26"/>
        <v>#N/A</v>
      </c>
      <c r="GE25" s="60" t="e">
        <f ca="1">AVERAGE(OFFSET($GD$3,0,0,'Données projet'!$E$17+1,1))-AVERAGE(OFFSET($H$3,0,0,'Données projet'!$E$17+1,1))</f>
        <v>#N/A</v>
      </c>
      <c r="GF25" s="60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77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0" t="e">
        <f t="shared" si="29"/>
        <v>#N/A</v>
      </c>
      <c r="GZ25" s="60" t="e">
        <f ca="1">AVERAGE(OFFSET($GY$3,0,0,'Données projet'!$E$18+1,1))-AVERAGE(OFFSET($H$3,0,0,'Données projet'!$E$18+1,1))</f>
        <v>#N/A</v>
      </c>
      <c r="HA25" s="60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25">
      <c r="A26" s="11">
        <f t="shared" si="31"/>
        <v>23</v>
      </c>
      <c r="B26" s="74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2">
        <f t="shared" si="32"/>
        <v>0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0</v>
      </c>
      <c r="H26" s="67">
        <f t="shared" si="1"/>
        <v>256.66666666666669</v>
      </c>
      <c r="I26" s="7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7.5641025641025648</v>
      </c>
      <c r="N26" s="14">
        <f>IF('Données projet'!$A$36&gt;35,N25+M26-V25,IF(A26&lt;'Données projet'!$A$36,$K$205^A26,IF(A26='Données projet'!$A$36,'Données projet'!$B$36,N25+M26-V25)))</f>
        <v>86.15384615384616</v>
      </c>
      <c r="O26" s="14">
        <f>N26*VLOOKUP('Données projet'!$B$9,Paramètres!$A$1:$I$89,3,0)*VLOOKUP('Données projet'!$B$9,Paramètres!$A$1:$I$89,5,0)</f>
        <v>81.984000000000009</v>
      </c>
      <c r="P26" s="14">
        <f t="shared" si="33"/>
        <v>22.621588649697724</v>
      </c>
      <c r="Q26" s="22">
        <f t="shared" si="2"/>
        <v>182.18806689822352</v>
      </c>
      <c r="R26" s="60">
        <f t="shared" si="0"/>
        <v>466.96584467600132</v>
      </c>
      <c r="S26" s="60">
        <f ca="1">AVERAGE(OFFSET($R$3,0,0,'Données projet'!$E$9+1,1))-AVERAGE(OFFSET($H$3,0,0,'Données projet'!$E$9+1,1))</f>
        <v>403.49781966317852</v>
      </c>
      <c r="T26" s="60">
        <f t="shared" si="34"/>
        <v>326.06674572505409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0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0</v>
      </c>
      <c r="AC26" s="24">
        <f t="shared" si="3"/>
        <v>0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10</v>
      </c>
      <c r="AI26" s="14">
        <f>IF('Données projet'!$A$62&gt;35,AI25+AH26-AQ25,IF(A26&lt;'Données projet'!$A$62,$AF$205^A26,IF(A26='Données projet'!$A$62,'Données projet'!$B$62,AI25+AH26-AQ25)))</f>
        <v>87</v>
      </c>
      <c r="AJ26" s="14">
        <f>AI26*VLOOKUP('Données projet'!$B$10,Paramètres!$A$1:$I$89,3,0)*VLOOKUP('Données projet'!$B$10,Paramètres!$A$1:$I$89,5,0)</f>
        <v>76.003200000000007</v>
      </c>
      <c r="AK26" s="14">
        <f t="shared" si="35"/>
        <v>21.157049992000456</v>
      </c>
      <c r="AL26" s="22">
        <f t="shared" si="4"/>
        <v>169.22076873606747</v>
      </c>
      <c r="AM26" s="60">
        <f t="shared" si="5"/>
        <v>453.99854651384521</v>
      </c>
      <c r="AN26" s="60">
        <f ca="1">AVERAGE(OFFSET($AM$3,0,0,'Données projet'!$E$10+1,1))-AVERAGE(OFFSET($H$3,0,0,'Données projet'!$E$10+1,1))</f>
        <v>274.66236526869056</v>
      </c>
      <c r="AO26" s="60">
        <f t="shared" si="36"/>
        <v>256.90876395053073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>
        <f>EXP(-LN(2)/35)*AU25+(1-EXP(-LN(2)/35))/(LN(2)/35)*AQ26*AR26*VLOOKUP('Données projet'!$B$10,Paramètres!$A$1:$I$89,3,0)*0.475*44/12</f>
        <v>0</v>
      </c>
      <c r="AV26" s="23">
        <f>EXP(-LN(2)/25)*AV25+(1-EXP(-LN(2)/25))/(LN(2)/25)*Calculateur!AQ26*Calculateur!AS26*VLOOKUP('Données projet'!$B$10,Paramètres!$A$1:$I$89,3,0)*0.475*44/12</f>
        <v>0</v>
      </c>
      <c r="AW26" s="23">
        <f>EXP(-LN(2)/2)*AW25+(1-EXP(-LN(2)/2))/(LN(2)/2)*AQ26*AT26*VLOOKUP('Données projet'!$B$10,Paramètres!$A$1:$I$89,3,0)*0.475*44/12</f>
        <v>0</v>
      </c>
      <c r="AX26" s="23">
        <f t="shared" si="6"/>
        <v>0</v>
      </c>
      <c r="AY26" s="76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7.2</v>
      </c>
      <c r="BD26" s="13">
        <f>IF('Données projet'!$A$88&gt;35,BD25+BC26-BL25,IF(A26&lt;'Données projet'!$A$88,$BA$205^A26,IF(A26='Données projet'!$A$88,'Données projet'!$B$88,BD25+BC26-BL25)))</f>
        <v>94.600000000000009</v>
      </c>
      <c r="BE26" s="14">
        <f>BD26*VLOOKUP('Données projet'!$B$11,Paramètres!$A$1:$I$89,3,0)*VLOOKUP('Données projet'!$B$11,Paramètres!$A$1:$I$89,5,0)</f>
        <v>85.594080000000005</v>
      </c>
      <c r="BF26" s="14">
        <f t="shared" si="37"/>
        <v>23.499539031833248</v>
      </c>
      <c r="BG26" s="22">
        <f t="shared" si="7"/>
        <v>190.00471981377623</v>
      </c>
      <c r="BH26" s="60">
        <f t="shared" si="8"/>
        <v>474.78249759155403</v>
      </c>
      <c r="BI26" s="60">
        <f ca="1">AVERAGE(OFFSET($BH$3,0,0,'Données projet'!$E$11+1,1))-AVERAGE(OFFSET($H$3,0,0,'Données projet'!$E$11+1,1))</f>
        <v>529.25712986118265</v>
      </c>
      <c r="BJ26" s="60">
        <f t="shared" si="38"/>
        <v>278.21741231699929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>
        <f>EXP(-LN(2)/35)*BP25+(1-EXP(-LN(2)/35))/(LN(2)/35)*BL26*BM26*VLOOKUP('Données projet'!$B$11,Paramètres!$A$1:$I$89,3,0)*0.475*44/12</f>
        <v>0</v>
      </c>
      <c r="BQ26" s="23">
        <f>EXP(-LN(2)/25)*BQ25+(1-EXP(-LN(2)/25))/(LN(2)/25)*Calculateur!BL26*Calculateur!BN26*VLOOKUP('Données projet'!$B$11,Paramètres!$A$1:$I$89,3,0)*0.475*44/12</f>
        <v>0</v>
      </c>
      <c r="BR26" s="23">
        <f>EXP(-LN(2)/2)*BR25+(1-EXP(-LN(2)/2))/(LN(2)/2)*BL26*BO26*VLOOKUP('Données projet'!$B$11,Paramètres!$A$1:$I$89,3,0)*0.475*44/12</f>
        <v>0</v>
      </c>
      <c r="BS26" s="24">
        <f t="shared" si="9"/>
        <v>0</v>
      </c>
      <c r="BT26" s="77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7.2</v>
      </c>
      <c r="BY26" s="13">
        <f>IF('Données projet'!$A$114&gt;35,BY25+BX26-CG25,IF(A26&lt;'Données projet'!$A$114,$BV$205^A26,IF(A26='Données projet'!$A$114,'Données projet'!$B$114,BY25+BX26-CG25)))</f>
        <v>94.600000000000009</v>
      </c>
      <c r="BZ26" s="14">
        <f>BY26*VLOOKUP('Données projet'!$B$12,Paramètres!$A$1:$I$89,3,0)*VLOOKUP('Données projet'!$B$12,Paramètres!$A$1:$I$89,5,0)</f>
        <v>95.92440000000002</v>
      </c>
      <c r="CA26" s="14">
        <f t="shared" si="39"/>
        <v>25.988703240473907</v>
      </c>
      <c r="CB26" s="22">
        <f t="shared" si="10"/>
        <v>212.33198814382544</v>
      </c>
      <c r="CC26" s="60">
        <f t="shared" si="11"/>
        <v>497.10976592160318</v>
      </c>
      <c r="CD26" s="60">
        <f ca="1">AVERAGE(OFFSET($CC$3,0,0,'Données projet'!$E$12+1,1))-AVERAGE(OFFSET($H$3,0,0,'Données projet'!$E$12+1,1))</f>
        <v>587.74247372331615</v>
      </c>
      <c r="CE26" s="60">
        <f t="shared" si="40"/>
        <v>306.61893266146666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>
        <f>EXP(-LN(2)/35)*CK25+(1-EXP(-LN(2)/35))/(LN(2)/35)*CG26*CH26*VLOOKUP('Données projet'!$B$12,Paramètres!$A$1:$I$89,3,0)*0.475*44/12</f>
        <v>0</v>
      </c>
      <c r="CL26" s="23">
        <f>EXP(-LN(2)/25)*CL25+(1-EXP(-LN(2)/25))/(LN(2)/25)*Calculateur!CG26*Calculateur!CI26*VLOOKUP('Données projet'!$B$12,Paramètres!$A$1:$I$89,3,0)*0.475*44/12</f>
        <v>0</v>
      </c>
      <c r="CM26" s="23">
        <f>EXP(-LN(2)/2)*CM25+(1-EXP(-LN(2)/2))/(LN(2)/2)*CG26*CJ26*VLOOKUP('Données projet'!$B$12,Paramètres!$A$1:$I$89,3,0)*0.475*44/12</f>
        <v>0</v>
      </c>
      <c r="CN26" s="24">
        <f t="shared" si="12"/>
        <v>0</v>
      </c>
      <c r="CO26" s="77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7.2</v>
      </c>
      <c r="CT26" s="13">
        <f>IF('Données projet'!$A$140&gt;35,CT25+CS26-DB25,IF(A26&lt;'Données projet'!$A$140,$CQ$205^A26,IF(A26='Données projet'!$A$140,'Données projet'!$B$140,CT25+CS26-DB25)))</f>
        <v>94.600000000000009</v>
      </c>
      <c r="CU26" s="18">
        <f>CT26*VLOOKUP('Données projet'!$B$13,Paramètres!$A$1:$I$89,3,0)*VLOOKUP('Données projet'!$B$13,Paramètres!$A$1:$I$89,5,0)</f>
        <v>101.82744000000001</v>
      </c>
      <c r="CV26" s="14">
        <f t="shared" si="41"/>
        <v>27.396900008962785</v>
      </c>
      <c r="CW26" s="22">
        <f t="shared" si="13"/>
        <v>225.06572551561021</v>
      </c>
      <c r="CX26" s="60">
        <f t="shared" si="14"/>
        <v>509.84350329338798</v>
      </c>
      <c r="CY26" s="60">
        <f ca="1">AVERAGE(OFFSET($CX$3,0,0,'Données projet'!$E$13+1,1))-AVERAGE(OFFSET($H$3,0,0,'Données projet'!$E$13+1,1))</f>
        <v>621.10465023992288</v>
      </c>
      <c r="CZ26" s="60">
        <f t="shared" si="42"/>
        <v>322.81767004794284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>
        <f>EXP(-LN(2)/35)*DF25+(1-EXP(-LN(2)/35))/(LN(2)/35)*DB26*DC26*VLOOKUP('Données projet'!$B$13,Paramètres!$A$1:$I$89,3,0)*0.475*44/12</f>
        <v>0</v>
      </c>
      <c r="DG26" s="23">
        <f>EXP(-LN(2)/25)*DG25+(1-EXP(-LN(2)/25))/(LN(2)/25)*Calculateur!DB26*Calculateur!DD26*VLOOKUP('Données projet'!$B$13,Paramètres!$A$1:$I$89,3,0)*0.475*44/12</f>
        <v>0</v>
      </c>
      <c r="DH26" s="23">
        <f>EXP(-LN(2)/2)*DH25+(1-EXP(-LN(2)/2))/(LN(2)/2)*DB26*DE26*VLOOKUP('Données projet'!$B$13,Paramètres!$A$1:$I$89,3,0)*0.475*44/12</f>
        <v>0</v>
      </c>
      <c r="DI26" s="24">
        <f t="shared" si="15"/>
        <v>0</v>
      </c>
      <c r="DJ26" s="77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7.2</v>
      </c>
      <c r="DO26" s="13">
        <f>IF('Données projet'!$A$166&gt;35,DO25+DN26-DW25,IF(A26&lt;'Données projet'!$A$166,$DL$205^A26,IF(A26='Données projet'!$A$166,'Données projet'!$B$166,DO25+DN26-DW25)))</f>
        <v>94.600000000000009</v>
      </c>
      <c r="DP26" s="18">
        <f>DO26*VLOOKUP('Données projet'!$B$14,Paramètres!$A$1:$I$89,3,0)*VLOOKUP('Données projet'!$B$14,Paramètres!$A$1:$I$89,5,0)</f>
        <v>91.49712000000001</v>
      </c>
      <c r="DQ26" s="14">
        <f t="shared" si="43"/>
        <v>24.925946867642839</v>
      </c>
      <c r="DR26" s="22">
        <f t="shared" si="16"/>
        <v>202.77017479447795</v>
      </c>
      <c r="DS26" s="60">
        <f t="shared" si="17"/>
        <v>487.54795257225572</v>
      </c>
      <c r="DT26" s="60">
        <f ca="1">AVERAGE(OFFSET($DS$3,0,0,'Données projet'!$E$14+1,1))-AVERAGE(OFFSET($H$3,0,0,'Données projet'!$E$14+1,1))</f>
        <v>562.69380557620775</v>
      </c>
      <c r="DU26" s="60">
        <f t="shared" si="44"/>
        <v>294.45557293177131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>
        <f>EXP(-LN(2)/35)*EA25+(1-EXP(-LN(2)/35))/(LN(2)/35)*DW26*DX26*VLOOKUP('Données projet'!$B$14,Paramètres!$A$1:$I$89,3,0)*0.475*44/12</f>
        <v>0</v>
      </c>
      <c r="EB26" s="23">
        <f>EXP(-LN(2)/25)*EB25+(1-EXP(-LN(2)/25))/(LN(2)/25)*Calculateur!DW26*Calculateur!DY26*VLOOKUP('Données projet'!$B$14,Paramètres!$A$1:$I$89,3,0)*0.475*44/12</f>
        <v>0</v>
      </c>
      <c r="EC26" s="23">
        <f>EXP(-LN(2)/2)*EC25+(1-EXP(-LN(2)/2))/(LN(2)/2)*DW26*DZ26*VLOOKUP('Données projet'!$B$14,Paramètres!$A$1:$I$89,3,0)*0.475*44/12</f>
        <v>0</v>
      </c>
      <c r="ED26" s="24">
        <f t="shared" si="18"/>
        <v>0</v>
      </c>
      <c r="EE26" s="77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10.6</v>
      </c>
      <c r="EJ26" s="13">
        <f>IF('Données projet'!$A$192&gt;35,EJ25+EI26-ER25,IF(A26&lt;'Données projet'!$A$192,$EG$205^A26,IF(A26='Données projet'!$A$192,'Données projet'!$B$192,EJ25+EI26-ER25)))</f>
        <v>119.79999999999997</v>
      </c>
      <c r="EK26" s="18">
        <f>EJ26*VLOOKUP('Données projet'!$B$15,Paramètres!$A$1:$I$89,3,0)*VLOOKUP('Données projet'!$B$15,Paramètres!$A$1:$I$89,5,0)</f>
        <v>93.443999999999974</v>
      </c>
      <c r="EL26" s="14">
        <f t="shared" si="45"/>
        <v>25.394010816431489</v>
      </c>
      <c r="EM26" s="22">
        <f t="shared" si="19"/>
        <v>206.97620217195148</v>
      </c>
      <c r="EN26" s="60">
        <f t="shared" si="20"/>
        <v>491.75397994972923</v>
      </c>
      <c r="EO26" s="60">
        <f ca="1">AVERAGE(OFFSET($EN$3,0,0,'Données projet'!$E$15+1,1))-AVERAGE(OFFSET($H$3,0,0,'Données projet'!$E$15+1,1))</f>
        <v>292.57482726862594</v>
      </c>
      <c r="EP26" s="60">
        <f t="shared" si="46"/>
        <v>283.48738729114024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>
        <f>EXP(-LN(2)/35)*EV25+(1-EXP(-LN(2)/35))/(LN(2)/35)*ER26*ES26*VLOOKUP('Données projet'!$B$15,Paramètres!$A$1:$I$89,3,0)*0.475*44/12</f>
        <v>0</v>
      </c>
      <c r="EW26" s="23">
        <f>EXP(-LN(2)/25)*EW25+(1-EXP(-LN(2)/25))/(LN(2)/25)*Calculateur!ER26*Calculateur!ET26*VLOOKUP('Données projet'!$B$15,Paramètres!$A$1:$I$89,3,0)*0.475*44/12</f>
        <v>0</v>
      </c>
      <c r="EX26" s="23">
        <f>EXP(-LN(2)/2)*EX25+(1-EXP(-LN(2)/2))/(LN(2)/2)*ER26*EU26*VLOOKUP('Données projet'!$B$15,Paramètres!$A$1:$I$89,3,0)*0.475*44/12</f>
        <v>0</v>
      </c>
      <c r="EY26" s="24">
        <f t="shared" si="21"/>
        <v>0</v>
      </c>
      <c r="EZ26" s="77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0" t="e">
        <f t="shared" si="23"/>
        <v>#N/A</v>
      </c>
      <c r="FJ26" s="60" t="e">
        <f ca="1">AVERAGE(OFFSET($FI$3,0,0,'Données projet'!$E$16+1,1))-AVERAGE(OFFSET($H$3,0,0,'Données projet'!$E$16+1,1))</f>
        <v>#N/A</v>
      </c>
      <c r="FK26" s="60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77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0" t="e">
        <f t="shared" si="26"/>
        <v>#N/A</v>
      </c>
      <c r="GE26" s="60" t="e">
        <f ca="1">AVERAGE(OFFSET($GD$3,0,0,'Données projet'!$E$17+1,1))-AVERAGE(OFFSET($H$3,0,0,'Données projet'!$E$17+1,1))</f>
        <v>#N/A</v>
      </c>
      <c r="GF26" s="60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77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0" t="e">
        <f t="shared" si="29"/>
        <v>#N/A</v>
      </c>
      <c r="GZ26" s="60" t="e">
        <f ca="1">AVERAGE(OFFSET($GY$3,0,0,'Données projet'!$E$18+1,1))-AVERAGE(OFFSET($H$3,0,0,'Données projet'!$E$18+1,1))</f>
        <v>#N/A</v>
      </c>
      <c r="HA26" s="60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25">
      <c r="A27" s="11">
        <f t="shared" si="31"/>
        <v>24</v>
      </c>
      <c r="B27" s="74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2">
        <f t="shared" si="32"/>
        <v>0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0</v>
      </c>
      <c r="H27" s="67">
        <f t="shared" si="1"/>
        <v>256.66666666666669</v>
      </c>
      <c r="I27" s="7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7.5641025641025648</v>
      </c>
      <c r="N27" s="14">
        <f>IF('Données projet'!$A$36&gt;35,N26+M27-V26,IF(A27&lt;'Données projet'!$A$36,$K$205^A27,IF(A27='Données projet'!$A$36,'Données projet'!$B$36,N26+M27-V26)))</f>
        <v>93.71794871794873</v>
      </c>
      <c r="O27" s="14">
        <f>N27*VLOOKUP('Données projet'!$B$9,Paramètres!$A$1:$I$89,3,0)*VLOOKUP('Données projet'!$B$9,Paramètres!$A$1:$I$89,5,0)</f>
        <v>89.182000000000016</v>
      </c>
      <c r="P27" s="14">
        <f t="shared" si="33"/>
        <v>24.367838379770792</v>
      </c>
      <c r="Q27" s="22">
        <f t="shared" si="2"/>
        <v>197.76596851143412</v>
      </c>
      <c r="R27" s="60">
        <f t="shared" si="0"/>
        <v>483.76596851143415</v>
      </c>
      <c r="S27" s="60">
        <f ca="1">AVERAGE(OFFSET($R$3,0,0,'Données projet'!$E$9+1,1))-AVERAGE(OFFSET($H$3,0,0,'Données projet'!$E$9+1,1))</f>
        <v>403.49781966317852</v>
      </c>
      <c r="T27" s="60">
        <f t="shared" si="34"/>
        <v>326.06674572505409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0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0</v>
      </c>
      <c r="AC27" s="24">
        <f t="shared" si="3"/>
        <v>0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10</v>
      </c>
      <c r="AI27" s="14">
        <f>IF('Données projet'!$A$62&gt;35,AI26+AH27-AQ26,IF(A27&lt;'Données projet'!$A$62,$AF$205^A27,IF(A27='Données projet'!$A$62,'Données projet'!$B$62,AI26+AH27-AQ26)))</f>
        <v>97</v>
      </c>
      <c r="AJ27" s="14">
        <f>AI27*VLOOKUP('Données projet'!$B$10,Paramètres!$A$1:$I$89,3,0)*VLOOKUP('Données projet'!$B$10,Paramètres!$A$1:$I$89,5,0)</f>
        <v>84.739200000000011</v>
      </c>
      <c r="AK27" s="14">
        <f t="shared" si="35"/>
        <v>23.292033444816514</v>
      </c>
      <c r="AL27" s="22">
        <f t="shared" si="4"/>
        <v>188.15439824972211</v>
      </c>
      <c r="AM27" s="60">
        <f t="shared" si="5"/>
        <v>474.15439824972214</v>
      </c>
      <c r="AN27" s="60">
        <f ca="1">AVERAGE(OFFSET($AM$3,0,0,'Données projet'!$E$10+1,1))-AVERAGE(OFFSET($H$3,0,0,'Données projet'!$E$10+1,1))</f>
        <v>274.66236526869056</v>
      </c>
      <c r="AO27" s="60">
        <f t="shared" si="36"/>
        <v>256.90876395053073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>
        <f>EXP(-LN(2)/35)*AU26+(1-EXP(-LN(2)/35))/(LN(2)/35)*AQ27*AR27*VLOOKUP('Données projet'!$B$10,Paramètres!$A$1:$I$89,3,0)*0.475*44/12</f>
        <v>0</v>
      </c>
      <c r="AV27" s="23">
        <f>EXP(-LN(2)/25)*AV26+(1-EXP(-LN(2)/25))/(LN(2)/25)*Calculateur!AQ27*Calculateur!AS27*VLOOKUP('Données projet'!$B$10,Paramètres!$A$1:$I$89,3,0)*0.475*44/12</f>
        <v>0</v>
      </c>
      <c r="AW27" s="23">
        <f>EXP(-LN(2)/2)*AW26+(1-EXP(-LN(2)/2))/(LN(2)/2)*AQ27*AT27*VLOOKUP('Données projet'!$B$10,Paramètres!$A$1:$I$89,3,0)*0.475*44/12</f>
        <v>0</v>
      </c>
      <c r="AX27" s="23">
        <f t="shared" si="6"/>
        <v>0</v>
      </c>
      <c r="AY27" s="76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7.2</v>
      </c>
      <c r="BD27" s="13">
        <f>IF('Données projet'!$A$88&gt;35,BD26+BC27-BL26,IF(A27&lt;'Données projet'!$A$88,$BA$205^A27,IF(A27='Données projet'!$A$88,'Données projet'!$B$88,BD26+BC27-BL26)))</f>
        <v>101.80000000000001</v>
      </c>
      <c r="BE27" s="14">
        <f>BD27*VLOOKUP('Données projet'!$B$11,Paramètres!$A$1:$I$89,3,0)*VLOOKUP('Données projet'!$B$11,Paramètres!$A$1:$I$89,5,0)</f>
        <v>92.108640000000008</v>
      </c>
      <c r="BF27" s="14">
        <f t="shared" si="37"/>
        <v>25.073090701604293</v>
      </c>
      <c r="BG27" s="22">
        <f t="shared" si="7"/>
        <v>204.09151430529414</v>
      </c>
      <c r="BH27" s="60">
        <f t="shared" si="8"/>
        <v>490.09151430529414</v>
      </c>
      <c r="BI27" s="60">
        <f ca="1">AVERAGE(OFFSET($BH$3,0,0,'Données projet'!$E$11+1,1))-AVERAGE(OFFSET($H$3,0,0,'Données projet'!$E$11+1,1))</f>
        <v>529.25712986118265</v>
      </c>
      <c r="BJ27" s="60">
        <f t="shared" si="38"/>
        <v>278.21741231699929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>
        <f>EXP(-LN(2)/35)*BP26+(1-EXP(-LN(2)/35))/(LN(2)/35)*BL27*BM27*VLOOKUP('Données projet'!$B$11,Paramètres!$A$1:$I$89,3,0)*0.475*44/12</f>
        <v>0</v>
      </c>
      <c r="BQ27" s="23">
        <f>EXP(-LN(2)/25)*BQ26+(1-EXP(-LN(2)/25))/(LN(2)/25)*Calculateur!BL27*Calculateur!BN27*VLOOKUP('Données projet'!$B$11,Paramètres!$A$1:$I$89,3,0)*0.475*44/12</f>
        <v>0</v>
      </c>
      <c r="BR27" s="23">
        <f>EXP(-LN(2)/2)*BR26+(1-EXP(-LN(2)/2))/(LN(2)/2)*BL27*BO27*VLOOKUP('Données projet'!$B$11,Paramètres!$A$1:$I$89,3,0)*0.475*44/12</f>
        <v>0</v>
      </c>
      <c r="BS27" s="24">
        <f t="shared" si="9"/>
        <v>0</v>
      </c>
      <c r="BT27" s="77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7.2</v>
      </c>
      <c r="BY27" s="13">
        <f>IF('Données projet'!$A$114&gt;35,BY26+BX27-CG26,IF(A27&lt;'Données projet'!$A$114,$BV$205^A27,IF(A27='Données projet'!$A$114,'Données projet'!$B$114,BY26+BX27-CG26)))</f>
        <v>101.80000000000001</v>
      </c>
      <c r="BZ27" s="14">
        <f>BY27*VLOOKUP('Données projet'!$B$12,Paramètres!$A$1:$I$89,3,0)*VLOOKUP('Données projet'!$B$12,Paramètres!$A$1:$I$89,5,0)</f>
        <v>103.22520000000003</v>
      </c>
      <c r="CA27" s="14">
        <f t="shared" si="39"/>
        <v>27.728931732779014</v>
      </c>
      <c r="CB27" s="22">
        <f t="shared" si="10"/>
        <v>228.07844610125684</v>
      </c>
      <c r="CC27" s="60">
        <f t="shared" si="11"/>
        <v>514.07844610125687</v>
      </c>
      <c r="CD27" s="60">
        <f ca="1">AVERAGE(OFFSET($CC$3,0,0,'Données projet'!$E$12+1,1))-AVERAGE(OFFSET($H$3,0,0,'Données projet'!$E$12+1,1))</f>
        <v>587.74247372331615</v>
      </c>
      <c r="CE27" s="60">
        <f t="shared" si="40"/>
        <v>306.61893266146666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>
        <f>EXP(-LN(2)/35)*CK26+(1-EXP(-LN(2)/35))/(LN(2)/35)*CG27*CH27*VLOOKUP('Données projet'!$B$12,Paramètres!$A$1:$I$89,3,0)*0.475*44/12</f>
        <v>0</v>
      </c>
      <c r="CL27" s="23">
        <f>EXP(-LN(2)/25)*CL26+(1-EXP(-LN(2)/25))/(LN(2)/25)*Calculateur!CG27*Calculateur!CI27*VLOOKUP('Données projet'!$B$12,Paramètres!$A$1:$I$89,3,0)*0.475*44/12</f>
        <v>0</v>
      </c>
      <c r="CM27" s="23">
        <f>EXP(-LN(2)/2)*CM26+(1-EXP(-LN(2)/2))/(LN(2)/2)*CG27*CJ27*VLOOKUP('Données projet'!$B$12,Paramètres!$A$1:$I$89,3,0)*0.475*44/12</f>
        <v>0</v>
      </c>
      <c r="CN27" s="24">
        <f t="shared" si="12"/>
        <v>0</v>
      </c>
      <c r="CO27" s="77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7.2</v>
      </c>
      <c r="CT27" s="13">
        <f>IF('Données projet'!$A$140&gt;35,CT26+CS27-DB26,IF(A27&lt;'Données projet'!$A$140,$CQ$205^A27,IF(A27='Données projet'!$A$140,'Données projet'!$B$140,CT26+CS27-DB26)))</f>
        <v>101.80000000000001</v>
      </c>
      <c r="CU27" s="18">
        <f>CT27*VLOOKUP('Données projet'!$B$13,Paramètres!$A$1:$I$89,3,0)*VLOOKUP('Données projet'!$B$13,Paramètres!$A$1:$I$89,5,0)</f>
        <v>109.57752000000001</v>
      </c>
      <c r="CV27" s="14">
        <f t="shared" si="41"/>
        <v>29.23142270735509</v>
      </c>
      <c r="CW27" s="22">
        <f t="shared" si="13"/>
        <v>241.75890854864349</v>
      </c>
      <c r="CX27" s="60">
        <f t="shared" si="14"/>
        <v>527.75890854864349</v>
      </c>
      <c r="CY27" s="60">
        <f ca="1">AVERAGE(OFFSET($CX$3,0,0,'Données projet'!$E$13+1,1))-AVERAGE(OFFSET($H$3,0,0,'Données projet'!$E$13+1,1))</f>
        <v>621.10465023992288</v>
      </c>
      <c r="CZ27" s="60">
        <f t="shared" si="42"/>
        <v>322.81767004794284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>
        <f>EXP(-LN(2)/35)*DF26+(1-EXP(-LN(2)/35))/(LN(2)/35)*DB27*DC27*VLOOKUP('Données projet'!$B$13,Paramètres!$A$1:$I$89,3,0)*0.475*44/12</f>
        <v>0</v>
      </c>
      <c r="DG27" s="23">
        <f>EXP(-LN(2)/25)*DG26+(1-EXP(-LN(2)/25))/(LN(2)/25)*Calculateur!DB27*Calculateur!DD27*VLOOKUP('Données projet'!$B$13,Paramètres!$A$1:$I$89,3,0)*0.475*44/12</f>
        <v>0</v>
      </c>
      <c r="DH27" s="23">
        <f>EXP(-LN(2)/2)*DH26+(1-EXP(-LN(2)/2))/(LN(2)/2)*DB27*DE27*VLOOKUP('Données projet'!$B$13,Paramètres!$A$1:$I$89,3,0)*0.475*44/12</f>
        <v>0</v>
      </c>
      <c r="DI27" s="24">
        <f t="shared" si="15"/>
        <v>0</v>
      </c>
      <c r="DJ27" s="77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7.2</v>
      </c>
      <c r="DO27" s="13">
        <f>IF('Données projet'!$A$166&gt;35,DO26+DN27-DW26,IF(A27&lt;'Données projet'!$A$166,$DL$205^A27,IF(A27='Données projet'!$A$166,'Données projet'!$B$166,DO26+DN27-DW26)))</f>
        <v>101.80000000000001</v>
      </c>
      <c r="DP27" s="18">
        <f>DO27*VLOOKUP('Données projet'!$B$14,Paramètres!$A$1:$I$89,3,0)*VLOOKUP('Données projet'!$B$14,Paramètres!$A$1:$I$89,5,0)</f>
        <v>98.460960000000014</v>
      </c>
      <c r="DQ27" s="14">
        <f t="shared" si="43"/>
        <v>26.595012174033403</v>
      </c>
      <c r="DR27" s="22">
        <f t="shared" si="16"/>
        <v>217.80581820310817</v>
      </c>
      <c r="DS27" s="60">
        <f t="shared" si="17"/>
        <v>503.80581820310817</v>
      </c>
      <c r="DT27" s="60">
        <f ca="1">AVERAGE(OFFSET($DS$3,0,0,'Données projet'!$E$14+1,1))-AVERAGE(OFFSET($H$3,0,0,'Données projet'!$E$14+1,1))</f>
        <v>562.69380557620775</v>
      </c>
      <c r="DU27" s="60">
        <f t="shared" si="44"/>
        <v>294.45557293177131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>
        <f>EXP(-LN(2)/35)*EA26+(1-EXP(-LN(2)/35))/(LN(2)/35)*DW27*DX27*VLOOKUP('Données projet'!$B$14,Paramètres!$A$1:$I$89,3,0)*0.475*44/12</f>
        <v>0</v>
      </c>
      <c r="EB27" s="23">
        <f>EXP(-LN(2)/25)*EB26+(1-EXP(-LN(2)/25))/(LN(2)/25)*Calculateur!DW27*Calculateur!DY27*VLOOKUP('Données projet'!$B$14,Paramètres!$A$1:$I$89,3,0)*0.475*44/12</f>
        <v>0</v>
      </c>
      <c r="EC27" s="23">
        <f>EXP(-LN(2)/2)*EC26+(1-EXP(-LN(2)/2))/(LN(2)/2)*DW27*DZ27*VLOOKUP('Données projet'!$B$14,Paramètres!$A$1:$I$89,3,0)*0.475*44/12</f>
        <v>0</v>
      </c>
      <c r="ED27" s="24">
        <f t="shared" si="18"/>
        <v>0</v>
      </c>
      <c r="EE27" s="77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10.6</v>
      </c>
      <c r="EJ27" s="13">
        <f>IF('Données projet'!$A$192&gt;35,EJ26+EI27-ER26,IF(A27&lt;'Données projet'!$A$192,$EG$205^A27,IF(A27='Données projet'!$A$192,'Données projet'!$B$192,EJ26+EI27-ER26)))</f>
        <v>130.39999999999998</v>
      </c>
      <c r="EK27" s="18">
        <f>EJ27*VLOOKUP('Données projet'!$B$15,Paramètres!$A$1:$I$89,3,0)*VLOOKUP('Données projet'!$B$15,Paramètres!$A$1:$I$89,5,0)</f>
        <v>101.71199999999999</v>
      </c>
      <c r="EL27" s="14">
        <f t="shared" si="45"/>
        <v>27.369454120725656</v>
      </c>
      <c r="EM27" s="22">
        <f t="shared" si="19"/>
        <v>224.81686592693052</v>
      </c>
      <c r="EN27" s="60">
        <f t="shared" si="20"/>
        <v>510.81686592693052</v>
      </c>
      <c r="EO27" s="60">
        <f ca="1">AVERAGE(OFFSET($EN$3,0,0,'Données projet'!$E$15+1,1))-AVERAGE(OFFSET($H$3,0,0,'Données projet'!$E$15+1,1))</f>
        <v>292.57482726862594</v>
      </c>
      <c r="EP27" s="60">
        <f t="shared" si="46"/>
        <v>283.48738729114024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>
        <f>EXP(-LN(2)/35)*EV26+(1-EXP(-LN(2)/35))/(LN(2)/35)*ER27*ES27*VLOOKUP('Données projet'!$B$15,Paramètres!$A$1:$I$89,3,0)*0.475*44/12</f>
        <v>0</v>
      </c>
      <c r="EW27" s="23">
        <f>EXP(-LN(2)/25)*EW26+(1-EXP(-LN(2)/25))/(LN(2)/25)*Calculateur!ER27*Calculateur!ET27*VLOOKUP('Données projet'!$B$15,Paramètres!$A$1:$I$89,3,0)*0.475*44/12</f>
        <v>0</v>
      </c>
      <c r="EX27" s="23">
        <f>EXP(-LN(2)/2)*EX26+(1-EXP(-LN(2)/2))/(LN(2)/2)*ER27*EU27*VLOOKUP('Données projet'!$B$15,Paramètres!$A$1:$I$89,3,0)*0.475*44/12</f>
        <v>0</v>
      </c>
      <c r="EY27" s="24">
        <f t="shared" si="21"/>
        <v>0</v>
      </c>
      <c r="EZ27" s="77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0" t="e">
        <f t="shared" si="23"/>
        <v>#N/A</v>
      </c>
      <c r="FJ27" s="60" t="e">
        <f ca="1">AVERAGE(OFFSET($FI$3,0,0,'Données projet'!$E$16+1,1))-AVERAGE(OFFSET($H$3,0,0,'Données projet'!$E$16+1,1))</f>
        <v>#N/A</v>
      </c>
      <c r="FK27" s="60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77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0" t="e">
        <f t="shared" si="26"/>
        <v>#N/A</v>
      </c>
      <c r="GE27" s="60" t="e">
        <f ca="1">AVERAGE(OFFSET($GD$3,0,0,'Données projet'!$E$17+1,1))-AVERAGE(OFFSET($H$3,0,0,'Données projet'!$E$17+1,1))</f>
        <v>#N/A</v>
      </c>
      <c r="GF27" s="60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77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0" t="e">
        <f t="shared" si="29"/>
        <v>#N/A</v>
      </c>
      <c r="GZ27" s="60" t="e">
        <f ca="1">AVERAGE(OFFSET($GY$3,0,0,'Données projet'!$E$18+1,1))-AVERAGE(OFFSET($H$3,0,0,'Données projet'!$E$18+1,1))</f>
        <v>#N/A</v>
      </c>
      <c r="HA27" s="60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25">
      <c r="A28" s="11">
        <f t="shared" si="31"/>
        <v>25</v>
      </c>
      <c r="B28" s="74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2">
        <f t="shared" si="32"/>
        <v>0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0</v>
      </c>
      <c r="H28" s="67">
        <f t="shared" si="1"/>
        <v>256.66666666666669</v>
      </c>
      <c r="I28" s="7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3">
        <f>VLOOKUP(A28,'Données projet'!$A$35:$I$55,2,0)</f>
        <v>101.28205128205128</v>
      </c>
      <c r="L28" s="13">
        <f>VLOOKUP(A28,'Données projet'!$A$35:$I$55,9,0)</f>
        <v>7.5641025641025648</v>
      </c>
      <c r="M28" s="13">
        <f t="array" ref="M28">INDEX(L:L,MIN(IF(ISNUMBER(L28:L224),ROW(L28:L224),"")))</f>
        <v>7.5641025641025648</v>
      </c>
      <c r="N28" s="14">
        <f>IF('Données projet'!$A$36&gt;35,N27+M28-V27,IF(A28&lt;'Données projet'!$A$36,$K$205^A28,IF(A28='Données projet'!$A$36,'Données projet'!$B$36,N27+M28-V27)))</f>
        <v>101.2820512820513</v>
      </c>
      <c r="O28" s="14">
        <f>N28*VLOOKUP('Données projet'!$B$9,Paramètres!$A$1:$I$89,3,0)*VLOOKUP('Données projet'!$B$9,Paramètres!$A$1:$I$89,5,0)</f>
        <v>96.380000000000024</v>
      </c>
      <c r="P28" s="14">
        <f t="shared" si="33"/>
        <v>26.097740539854968</v>
      </c>
      <c r="Q28" s="22">
        <f t="shared" si="2"/>
        <v>213.3153981069141</v>
      </c>
      <c r="R28" s="60">
        <f t="shared" si="0"/>
        <v>500.5376203291363</v>
      </c>
      <c r="S28" s="60">
        <f ca="1">AVERAGE(OFFSET($R$3,0,0,'Données projet'!$E$9+1,1))-AVERAGE(OFFSET($H$3,0,0,'Données projet'!$E$9+1,1))</f>
        <v>403.49781966317852</v>
      </c>
      <c r="T28" s="60">
        <f t="shared" si="34"/>
        <v>326.06674572505409</v>
      </c>
      <c r="U28" s="16">
        <f>IF(ISNA(VLOOKUP(A28,'Données projet'!$A$35:$I$55,3,0)),0,VLOOKUP(A28,'Données projet'!$A$35:$I$55,3,0))</f>
        <v>0</v>
      </c>
      <c r="V28" s="16">
        <f>IF(ISNA(VLOOKUP(A28,'Données projet'!$A$35:$I$55,4,0)),0,VLOOKUP(A28,'Données projet'!$A$35:$I$55,4,0))</f>
        <v>0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projet'!$B$9,Paramètres!$A$1:$I$89,3,0)*0.475*44/12</f>
        <v>0</v>
      </c>
      <c r="AA28" s="23">
        <f>EXP(-LN(2)/25)*AA27+(1-EXP(-LN(2)/25))/(LN(2)/25)*Calculateur!V28*Calculateur!X28*VLOOKUP('Données projet'!$B$9,Paramètres!$A$1:$I$89,3,0)*0.475*44/12</f>
        <v>0</v>
      </c>
      <c r="AB28" s="23">
        <f>EXP(-LN(2)/2)*AB27+(1-EXP(-LN(2)/2))/(LN(2)/2)*V28*Y28*VLOOKUP('Données projet'!$B$9,Paramètres!$A$1:$I$89,3,0)*0.475*44/12</f>
        <v>0</v>
      </c>
      <c r="AC28" s="24">
        <f t="shared" si="3"/>
        <v>0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3">
        <f>VLOOKUP(A28,'Données projet'!$A$61:$I$81,2,0)</f>
        <v>107</v>
      </c>
      <c r="AG28" s="13">
        <f>VLOOKUP(A28,'Données projet'!$A$61:$I$81,9,0)</f>
        <v>10</v>
      </c>
      <c r="AH28" s="13">
        <f t="array" ref="AH28">INDEX(AG:AG,MIN(IF(ISNUMBER(AG28:AG224),ROW(AG28:AG224),"")))</f>
        <v>10</v>
      </c>
      <c r="AI28" s="14">
        <f>IF('Données projet'!$A$62&gt;35,AI27+AH28-AQ27,IF(A28&lt;'Données projet'!$A$62,$AF$205^A28,IF(A28='Données projet'!$A$62,'Données projet'!$B$62,AI27+AH28-AQ27)))</f>
        <v>107</v>
      </c>
      <c r="AJ28" s="14">
        <f>AI28*VLOOKUP('Données projet'!$B$10,Paramètres!$A$1:$I$89,3,0)*VLOOKUP('Données projet'!$B$10,Paramètres!$A$1:$I$89,5,0)</f>
        <v>93.475200000000015</v>
      </c>
      <c r="AK28" s="14">
        <f t="shared" si="35"/>
        <v>25.401502539965662</v>
      </c>
      <c r="AL28" s="22">
        <f t="shared" si="4"/>
        <v>207.04359025710687</v>
      </c>
      <c r="AM28" s="60">
        <f t="shared" si="5"/>
        <v>494.2658124793291</v>
      </c>
      <c r="AN28" s="60">
        <f ca="1">AVERAGE(OFFSET($AM$3,0,0,'Données projet'!$E$10+1,1))-AVERAGE(OFFSET($H$3,0,0,'Données projet'!$E$10+1,1))</f>
        <v>274.66236526869056</v>
      </c>
      <c r="AO28" s="60">
        <f t="shared" si="36"/>
        <v>256.90876395053073</v>
      </c>
      <c r="AP28" s="16">
        <f>IF(ISNA(VLOOKUP(A28,'Données projet'!$A$61:$I$81,3,0)),0,VLOOKUP(A28,'Données projet'!$A$61:$I$81,3,0))</f>
        <v>1</v>
      </c>
      <c r="AQ28" s="16">
        <f>IF(ISNA(VLOOKUP(A28,'Données projet'!$A$61:$I$81,4,0)),0,VLOOKUP(A28,'Données projet'!$A$61:$I$81,4,0))</f>
        <v>42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>
        <f>EXP(-LN(2)/35)*AU27+(1-EXP(-LN(2)/35))/(LN(2)/35)*AQ28*AR28*VLOOKUP('Données projet'!$B$10,Paramètres!$A$1:$I$89,3,0)*0.475*44/12</f>
        <v>0</v>
      </c>
      <c r="AV28" s="23">
        <f>EXP(-LN(2)/25)*AV27+(1-EXP(-LN(2)/25))/(LN(2)/25)*Calculateur!AQ28*Calculateur!AS28*VLOOKUP('Données projet'!$B$10,Paramètres!$A$1:$I$89,3,0)*0.475*44/12</f>
        <v>0</v>
      </c>
      <c r="AW28" s="23">
        <f>EXP(-LN(2)/2)*AW27+(1-EXP(-LN(2)/2))/(LN(2)/2)*AQ28*AT28*VLOOKUP('Données projet'!$B$10,Paramètres!$A$1:$I$89,3,0)*0.475*44/12</f>
        <v>0</v>
      </c>
      <c r="AX28" s="23">
        <f t="shared" si="6"/>
        <v>0</v>
      </c>
      <c r="AY28" s="76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3">
        <f>VLOOKUP(A28,'Données projet'!$A$87:$I$107,2,0)</f>
        <v>109</v>
      </c>
      <c r="BB28" s="13">
        <f>VLOOKUP(A28,'Données projet'!$A$87:$I$107,9,0)</f>
        <v>7.2</v>
      </c>
      <c r="BC28" s="13">
        <f t="array" ref="BC28">INDEX(BB:BB,MIN(IF(ISNUMBER(BB28:BB224),ROW(BB28:BB224),"")))</f>
        <v>7.2</v>
      </c>
      <c r="BD28" s="13">
        <f>IF('Données projet'!$A$88&gt;35,BD27+BC28-BL27,IF(A28&lt;'Données projet'!$A$88,$BA$205^A28,IF(A28='Données projet'!$A$88,'Données projet'!$B$88,BD27+BC28-BL27)))</f>
        <v>109.00000000000001</v>
      </c>
      <c r="BE28" s="14">
        <f>BD28*VLOOKUP('Données projet'!$B$11,Paramètres!$A$1:$I$89,3,0)*VLOOKUP('Données projet'!$B$11,Paramètres!$A$1:$I$89,5,0)</f>
        <v>98.623200000000011</v>
      </c>
      <c r="BF28" s="14">
        <f t="shared" si="37"/>
        <v>26.633729748944933</v>
      </c>
      <c r="BG28" s="22">
        <f t="shared" si="7"/>
        <v>218.15581931274576</v>
      </c>
      <c r="BH28" s="60">
        <f t="shared" si="8"/>
        <v>505.37804153496802</v>
      </c>
      <c r="BI28" s="60">
        <f ca="1">AVERAGE(OFFSET($BH$3,0,0,'Données projet'!$E$11+1,1))-AVERAGE(OFFSET($H$3,0,0,'Données projet'!$E$11+1,1))</f>
        <v>529.25712986118265</v>
      </c>
      <c r="BJ28" s="60">
        <f t="shared" si="38"/>
        <v>278.21741231699929</v>
      </c>
      <c r="BK28" s="16">
        <f>IF(ISNA(VLOOKUP(A28,'Données projet'!$A$87:$I$107,3,0)),0,VLOOKUP(A28,'Données projet'!$A$87:$I$107,3,0))</f>
        <v>1</v>
      </c>
      <c r="BL28" s="16">
        <f>IF(ISNA(VLOOKUP(A28,'Données projet'!$A$87:$I$107,4,0)),0,VLOOKUP(A28,'Données projet'!$A$87:$I$107,4,0))</f>
        <v>34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>
        <f>EXP(-LN(2)/35)*BP27+(1-EXP(-LN(2)/35))/(LN(2)/35)*BL28*BM28*VLOOKUP('Données projet'!$B$11,Paramètres!$A$1:$I$89,3,0)*0.475*44/12</f>
        <v>0</v>
      </c>
      <c r="BQ28" s="23">
        <f>EXP(-LN(2)/25)*BQ27+(1-EXP(-LN(2)/25))/(LN(2)/25)*Calculateur!BL28*Calculateur!BN28*VLOOKUP('Données projet'!$B$11,Paramètres!$A$1:$I$89,3,0)*0.475*44/12</f>
        <v>0</v>
      </c>
      <c r="BR28" s="23">
        <f>EXP(-LN(2)/2)*BR27+(1-EXP(-LN(2)/2))/(LN(2)/2)*BL28*BO28*VLOOKUP('Données projet'!$B$11,Paramètres!$A$1:$I$89,3,0)*0.475*44/12</f>
        <v>0</v>
      </c>
      <c r="BS28" s="24">
        <f t="shared" si="9"/>
        <v>0</v>
      </c>
      <c r="BT28" s="77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3">
        <f>VLOOKUP(A28,'Données projet'!$A$113:$I$133,2,0)</f>
        <v>109</v>
      </c>
      <c r="BW28" s="13">
        <f>VLOOKUP(A28,'Données projet'!$A$113:$I$133,9,0)</f>
        <v>7.2</v>
      </c>
      <c r="BX28" s="13">
        <f t="array" ref="BX28">INDEX(BW:BW,MIN(IF(ISNUMBER(BW28:BW224),ROW(BW28:BW224),"")))</f>
        <v>7.2</v>
      </c>
      <c r="BY28" s="13">
        <f>IF('Données projet'!$A$114&gt;35,BY27+BX28-CG27,IF(A28&lt;'Données projet'!$A$114,$BV$205^A28,IF(A28='Données projet'!$A$114,'Données projet'!$B$114,BY27+BX28-CG27)))</f>
        <v>109.00000000000001</v>
      </c>
      <c r="BZ28" s="14">
        <f>BY28*VLOOKUP('Données projet'!$B$12,Paramètres!$A$1:$I$89,3,0)*VLOOKUP('Données projet'!$B$12,Paramètres!$A$1:$I$89,5,0)</f>
        <v>110.52600000000001</v>
      </c>
      <c r="CA28" s="14">
        <f t="shared" si="39"/>
        <v>29.454879846564946</v>
      </c>
      <c r="CB28" s="22">
        <f t="shared" si="10"/>
        <v>243.80003239943395</v>
      </c>
      <c r="CC28" s="60">
        <f t="shared" si="11"/>
        <v>531.0222546216562</v>
      </c>
      <c r="CD28" s="60">
        <f ca="1">AVERAGE(OFFSET($CC$3,0,0,'Données projet'!$E$12+1,1))-AVERAGE(OFFSET($H$3,0,0,'Données projet'!$E$12+1,1))</f>
        <v>587.74247372331615</v>
      </c>
      <c r="CE28" s="60">
        <f t="shared" si="40"/>
        <v>306.61893266146666</v>
      </c>
      <c r="CF28" s="16">
        <f>IF(ISNA(VLOOKUP(A28,'Données projet'!$A$113:$I$133,3,0)),0,VLOOKUP(A28,'Données projet'!$A$113:$I$133,3,0))</f>
        <v>1</v>
      </c>
      <c r="CG28" s="16">
        <f>IF(ISNA(VLOOKUP(A28,'Données projet'!$A$113:$I$133,4,0)),0,VLOOKUP(A28,'Données projet'!$A$113:$I$133,4,0))</f>
        <v>34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>
        <f>EXP(-LN(2)/35)*CK27+(1-EXP(-LN(2)/35))/(LN(2)/35)*CG28*CH28*VLOOKUP('Données projet'!$B$12,Paramètres!$A$1:$I$89,3,0)*0.475*44/12</f>
        <v>0</v>
      </c>
      <c r="CL28" s="23">
        <f>EXP(-LN(2)/25)*CL27+(1-EXP(-LN(2)/25))/(LN(2)/25)*Calculateur!CG28*Calculateur!CI28*VLOOKUP('Données projet'!$B$12,Paramètres!$A$1:$I$89,3,0)*0.475*44/12</f>
        <v>0</v>
      </c>
      <c r="CM28" s="23">
        <f>EXP(-LN(2)/2)*CM27+(1-EXP(-LN(2)/2))/(LN(2)/2)*CG28*CJ28*VLOOKUP('Données projet'!$B$12,Paramètres!$A$1:$I$89,3,0)*0.475*44/12</f>
        <v>0</v>
      </c>
      <c r="CN28" s="24">
        <f t="shared" si="12"/>
        <v>0</v>
      </c>
      <c r="CO28" s="77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3">
        <f>VLOOKUP(A28,'Données projet'!$A$139:$I$159,2,0)</f>
        <v>109</v>
      </c>
      <c r="CR28" s="13">
        <f>VLOOKUP(A28,'Données projet'!$A$139:$I$159,9,0)</f>
        <v>7.2</v>
      </c>
      <c r="CS28" s="13">
        <f t="array" ref="CS28">INDEX(CR:CR,MIN(IF(ISNUMBER(CR28:CR224),ROW(CR28:CR224),"")))</f>
        <v>7.2</v>
      </c>
      <c r="CT28" s="13">
        <f>IF('Données projet'!$A$140&gt;35,CT27+CS28-DB27,IF(A28&lt;'Données projet'!$A$140,$CQ$205^A28,IF(A28='Données projet'!$A$140,'Données projet'!$B$140,CT27+CS28-DB27)))</f>
        <v>109.00000000000001</v>
      </c>
      <c r="CU28" s="18">
        <f>CT28*VLOOKUP('Données projet'!$B$13,Paramètres!$A$1:$I$89,3,0)*VLOOKUP('Données projet'!$B$13,Paramètres!$A$1:$I$89,5,0)</f>
        <v>117.32760000000002</v>
      </c>
      <c r="CV28" s="14">
        <f t="shared" si="41"/>
        <v>31.050891245531712</v>
      </c>
      <c r="CW28" s="22">
        <f t="shared" si="13"/>
        <v>258.42587225263441</v>
      </c>
      <c r="CX28" s="60">
        <f t="shared" si="14"/>
        <v>545.64809447485663</v>
      </c>
      <c r="CY28" s="60">
        <f ca="1">AVERAGE(OFFSET($CX$3,0,0,'Données projet'!$E$13+1,1))-AVERAGE(OFFSET($H$3,0,0,'Données projet'!$E$13+1,1))</f>
        <v>621.10465023992288</v>
      </c>
      <c r="CZ28" s="60">
        <f t="shared" si="42"/>
        <v>322.81767004794284</v>
      </c>
      <c r="DA28" s="16">
        <f>IF(ISNA(VLOOKUP(A28,'Données projet'!$A$139:$I$159,3,0)),0,VLOOKUP(A28,'Données projet'!$A$139:$I$159,3,0))</f>
        <v>1</v>
      </c>
      <c r="DB28" s="16">
        <f>IF(ISNA(VLOOKUP(A28,'Données projet'!$A$139:$I$159,4,0)),0,VLOOKUP(A28,'Données projet'!$A$139:$I$159,4,0))</f>
        <v>34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>
        <f>EXP(-LN(2)/35)*DF27+(1-EXP(-LN(2)/35))/(LN(2)/35)*DB28*DC28*VLOOKUP('Données projet'!$B$13,Paramètres!$A$1:$I$89,3,0)*0.475*44/12</f>
        <v>0</v>
      </c>
      <c r="DG28" s="23">
        <f>EXP(-LN(2)/25)*DG27+(1-EXP(-LN(2)/25))/(LN(2)/25)*Calculateur!DB28*Calculateur!DD28*VLOOKUP('Données projet'!$B$13,Paramètres!$A$1:$I$89,3,0)*0.475*44/12</f>
        <v>0</v>
      </c>
      <c r="DH28" s="23">
        <f>EXP(-LN(2)/2)*DH27+(1-EXP(-LN(2)/2))/(LN(2)/2)*DB28*DE28*VLOOKUP('Données projet'!$B$13,Paramètres!$A$1:$I$89,3,0)*0.475*44/12</f>
        <v>0</v>
      </c>
      <c r="DI28" s="24">
        <f t="shared" si="15"/>
        <v>0</v>
      </c>
      <c r="DJ28" s="77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3">
        <f>VLOOKUP(A28,'Données projet'!$A$165:$I$185,2,0)</f>
        <v>109</v>
      </c>
      <c r="DM28" s="13">
        <f>VLOOKUP(A28,'Données projet'!$A$165:$I$185,9,0)</f>
        <v>7.2</v>
      </c>
      <c r="DN28" s="13">
        <f t="array" ref="DN28">INDEX(DM:DM,MIN(IF(ISNUMBER(DM28:DM224),ROW(DM28:DM224),"")))</f>
        <v>7.2</v>
      </c>
      <c r="DO28" s="13">
        <f>IF('Données projet'!$A$166&gt;35,DO27+DN28-DW27,IF(A28&lt;'Données projet'!$A$166,$DL$205^A28,IF(A28='Données projet'!$A$166,'Données projet'!$B$166,DO27+DN28-DW27)))</f>
        <v>109.00000000000001</v>
      </c>
      <c r="DP28" s="18">
        <f>DO28*VLOOKUP('Données projet'!$B$14,Paramètres!$A$1:$I$89,3,0)*VLOOKUP('Données projet'!$B$14,Paramètres!$A$1:$I$89,5,0)</f>
        <v>105.42480000000002</v>
      </c>
      <c r="DQ28" s="14">
        <f t="shared" si="43"/>
        <v>28.250381069605584</v>
      </c>
      <c r="DR28" s="22">
        <f t="shared" si="16"/>
        <v>232.81760702956308</v>
      </c>
      <c r="DS28" s="60">
        <f t="shared" si="17"/>
        <v>520.03982925178525</v>
      </c>
      <c r="DT28" s="60">
        <f ca="1">AVERAGE(OFFSET($DS$3,0,0,'Données projet'!$E$14+1,1))-AVERAGE(OFFSET($H$3,0,0,'Données projet'!$E$14+1,1))</f>
        <v>562.69380557620775</v>
      </c>
      <c r="DU28" s="60">
        <f t="shared" si="44"/>
        <v>294.45557293177131</v>
      </c>
      <c r="DV28" s="16">
        <f>IF(ISNA(VLOOKUP(A28,'Données projet'!$A$165:$I$185,3,0)),0,VLOOKUP(A28,'Données projet'!$A$165:$I$185,3,0))</f>
        <v>1</v>
      </c>
      <c r="DW28" s="16">
        <f>IF(ISNA(VLOOKUP(A28,'Données projet'!$A$165:$I$185,4,0)),0,VLOOKUP(A28,'Données projet'!$A$165:$I$185,4,0))</f>
        <v>34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>
        <f>EXP(-LN(2)/35)*EA27+(1-EXP(-LN(2)/35))/(LN(2)/35)*DW28*DX28*VLOOKUP('Données projet'!$B$14,Paramètres!$A$1:$I$89,3,0)*0.475*44/12</f>
        <v>0</v>
      </c>
      <c r="EB28" s="23">
        <f>EXP(-LN(2)/25)*EB27+(1-EXP(-LN(2)/25))/(LN(2)/25)*Calculateur!DW28*Calculateur!DY28*VLOOKUP('Données projet'!$B$14,Paramètres!$A$1:$I$89,3,0)*0.475*44/12</f>
        <v>0</v>
      </c>
      <c r="EC28" s="23">
        <f>EXP(-LN(2)/2)*EC27+(1-EXP(-LN(2)/2))/(LN(2)/2)*DW28*DZ28*VLOOKUP('Données projet'!$B$14,Paramètres!$A$1:$I$89,3,0)*0.475*44/12</f>
        <v>0</v>
      </c>
      <c r="ED28" s="24">
        <f t="shared" si="18"/>
        <v>0</v>
      </c>
      <c r="EE28" s="77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3">
        <f>VLOOKUP(A28,'Données projet'!$A$191:$I$211,2,0)</f>
        <v>141</v>
      </c>
      <c r="EH28" s="13">
        <f>VLOOKUP(A28,'Données projet'!$A$191:$I$211,9,0)</f>
        <v>10.6</v>
      </c>
      <c r="EI28" s="13">
        <f t="array" ref="EI28">INDEX(EH:EH,MIN(IF(ISNUMBER(EH28:EH224),ROW(EH28:EH224),"")))</f>
        <v>10.6</v>
      </c>
      <c r="EJ28" s="13">
        <f>IF('Données projet'!$A$192&gt;35,EJ27+EI28-ER27,IF(A28&lt;'Données projet'!$A$192,$EG$205^A28,IF(A28='Données projet'!$A$192,'Données projet'!$B$192,EJ27+EI28-ER27)))</f>
        <v>140.99999999999997</v>
      </c>
      <c r="EK28" s="18">
        <f>EJ28*VLOOKUP('Données projet'!$B$15,Paramètres!$A$1:$I$89,3,0)*VLOOKUP('Données projet'!$B$15,Paramètres!$A$1:$I$89,5,0)</f>
        <v>109.97999999999998</v>
      </c>
      <c r="EL28" s="14">
        <f t="shared" si="45"/>
        <v>29.326272366698234</v>
      </c>
      <c r="EM28" s="22">
        <f t="shared" si="19"/>
        <v>242.62509103866606</v>
      </c>
      <c r="EN28" s="60">
        <f t="shared" si="20"/>
        <v>529.84731326088831</v>
      </c>
      <c r="EO28" s="60">
        <f ca="1">AVERAGE(OFFSET($EN$3,0,0,'Données projet'!$E$15+1,1))-AVERAGE(OFFSET($H$3,0,0,'Données projet'!$E$15+1,1))</f>
        <v>292.57482726862594</v>
      </c>
      <c r="EP28" s="60">
        <f t="shared" si="46"/>
        <v>283.48738729114024</v>
      </c>
      <c r="EQ28" s="16">
        <f>IF(ISNA(VLOOKUP(A28,'Données projet'!$A$191:$I$211,3,0)),0,VLOOKUP(A28,'Données projet'!$A$191:$I$211,3,0))</f>
        <v>1</v>
      </c>
      <c r="ER28" s="16">
        <f>IF(ISNA(VLOOKUP(A28,'Données projet'!$A$191:$I$211,4,0)),0,VLOOKUP(A28,'Données projet'!$A$191:$I$211,4,0))</f>
        <v>55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>
        <f>EXP(-LN(2)/35)*EV27+(1-EXP(-LN(2)/35))/(LN(2)/35)*ER28*ES28*VLOOKUP('Données projet'!$B$15,Paramètres!$A$1:$I$89,3,0)*0.475*44/12</f>
        <v>0</v>
      </c>
      <c r="EW28" s="23">
        <f>EXP(-LN(2)/25)*EW27+(1-EXP(-LN(2)/25))/(LN(2)/25)*Calculateur!ER28*Calculateur!ET28*VLOOKUP('Données projet'!$B$15,Paramètres!$A$1:$I$89,3,0)*0.475*44/12</f>
        <v>0</v>
      </c>
      <c r="EX28" s="23">
        <f>EXP(-LN(2)/2)*EX27+(1-EXP(-LN(2)/2))/(LN(2)/2)*ER28*EU28*VLOOKUP('Données projet'!$B$15,Paramètres!$A$1:$I$89,3,0)*0.475*44/12</f>
        <v>0</v>
      </c>
      <c r="EY28" s="24">
        <f t="shared" si="21"/>
        <v>0</v>
      </c>
      <c r="EZ28" s="77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0" t="e">
        <f t="shared" si="23"/>
        <v>#N/A</v>
      </c>
      <c r="FJ28" s="60" t="e">
        <f ca="1">AVERAGE(OFFSET($FI$3,0,0,'Données projet'!$E$16+1,1))-AVERAGE(OFFSET($H$3,0,0,'Données projet'!$E$16+1,1))</f>
        <v>#N/A</v>
      </c>
      <c r="FK28" s="60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77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0" t="e">
        <f t="shared" si="26"/>
        <v>#N/A</v>
      </c>
      <c r="GE28" s="60" t="e">
        <f ca="1">AVERAGE(OFFSET($GD$3,0,0,'Données projet'!$E$17+1,1))-AVERAGE(OFFSET($H$3,0,0,'Données projet'!$E$17+1,1))</f>
        <v>#N/A</v>
      </c>
      <c r="GF28" s="60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77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0" t="e">
        <f t="shared" si="29"/>
        <v>#N/A</v>
      </c>
      <c r="GZ28" s="60" t="e">
        <f ca="1">AVERAGE(OFFSET($GY$3,0,0,'Données projet'!$E$18+1,1))-AVERAGE(OFFSET($H$3,0,0,'Données projet'!$E$18+1,1))</f>
        <v>#N/A</v>
      </c>
      <c r="HA28" s="60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25">
      <c r="A29" s="11">
        <f t="shared" si="31"/>
        <v>26</v>
      </c>
      <c r="B29" s="74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2">
        <f t="shared" si="32"/>
        <v>0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0</v>
      </c>
      <c r="H29" s="67">
        <f t="shared" si="1"/>
        <v>256.66666666666669</v>
      </c>
      <c r="I29" s="7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7.4358974358974335</v>
      </c>
      <c r="N29" s="14">
        <f>IF('Données projet'!$A$36&gt;35,N28+M29-V28,IF(A29&lt;'Données projet'!$A$36,$K$205^A29,IF(A29='Données projet'!$A$36,'Données projet'!$B$36,N28+M29-V28)))</f>
        <v>108.71794871794873</v>
      </c>
      <c r="O29" s="14">
        <f>N29*VLOOKUP('Données projet'!$B$9,Paramètres!$A$1:$I$89,3,0)*VLOOKUP('Données projet'!$B$9,Paramètres!$A$1:$I$89,5,0)</f>
        <v>103.45600000000002</v>
      </c>
      <c r="P29" s="14">
        <f t="shared" si="33"/>
        <v>27.783706740361961</v>
      </c>
      <c r="Q29" s="22">
        <f t="shared" si="2"/>
        <v>228.57582257279714</v>
      </c>
      <c r="R29" s="60">
        <f t="shared" si="0"/>
        <v>517.02026701724162</v>
      </c>
      <c r="S29" s="60">
        <f ca="1">AVERAGE(OFFSET($R$3,0,0,'Données projet'!$E$9+1,1))-AVERAGE(OFFSET($H$3,0,0,'Données projet'!$E$9+1,1))</f>
        <v>403.49781966317852</v>
      </c>
      <c r="T29" s="60">
        <f t="shared" si="34"/>
        <v>326.06674572505409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0</v>
      </c>
      <c r="AA29" s="23">
        <f>EXP(-LN(2)/25)*AA28+(1-EXP(-LN(2)/25))/(LN(2)/25)*Calculateur!V29*Calculateur!X29*VLOOKUP('Données projet'!$B$9,Paramètres!$A$1:$I$89,3,0)*0.475*44/12</f>
        <v>0</v>
      </c>
      <c r="AB29" s="23">
        <f>EXP(-LN(2)/2)*AB28+(1-EXP(-LN(2)/2))/(LN(2)/2)*V29*Y29*VLOOKUP('Données projet'!$B$9,Paramètres!$A$1:$I$89,3,0)*0.475*44/12</f>
        <v>0</v>
      </c>
      <c r="AC29" s="24">
        <f t="shared" si="3"/>
        <v>0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9.8000000000000007</v>
      </c>
      <c r="AI29" s="14">
        <f>IF('Données projet'!$A$62&gt;35,AI28+AH29-AQ28,IF(A29&lt;'Données projet'!$A$62,$AF$205^A29,IF(A29='Données projet'!$A$62,'Données projet'!$B$62,AI28+AH29-AQ28)))</f>
        <v>74.8</v>
      </c>
      <c r="AJ29" s="14">
        <f>AI29*VLOOKUP('Données projet'!$B$10,Paramètres!$A$1:$I$89,3,0)*VLOOKUP('Données projet'!$B$10,Paramètres!$A$1:$I$89,5,0)</f>
        <v>65.345280000000017</v>
      </c>
      <c r="AK29" s="14">
        <f t="shared" si="35"/>
        <v>18.512938248561991</v>
      </c>
      <c r="AL29" s="22">
        <f t="shared" si="4"/>
        <v>146.05306344957884</v>
      </c>
      <c r="AM29" s="60">
        <f t="shared" si="5"/>
        <v>434.49750789402333</v>
      </c>
      <c r="AN29" s="60">
        <f ca="1">AVERAGE(OFFSET($AM$3,0,0,'Données projet'!$E$10+1,1))-AVERAGE(OFFSET($H$3,0,0,'Données projet'!$E$10+1,1))</f>
        <v>274.66236526869056</v>
      </c>
      <c r="AO29" s="60">
        <f t="shared" si="36"/>
        <v>256.90876395053073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>
        <f>EXP(-LN(2)/35)*AU28+(1-EXP(-LN(2)/35))/(LN(2)/35)*AQ29*AR29*VLOOKUP('Données projet'!$B$10,Paramètres!$A$1:$I$89,3,0)*0.475*44/12</f>
        <v>0</v>
      </c>
      <c r="AV29" s="23">
        <f>EXP(-LN(2)/25)*AV28+(1-EXP(-LN(2)/25))/(LN(2)/25)*Calculateur!AQ29*Calculateur!AS29*VLOOKUP('Données projet'!$B$10,Paramètres!$A$1:$I$89,3,0)*0.475*44/12</f>
        <v>0</v>
      </c>
      <c r="AW29" s="23">
        <f>EXP(-LN(2)/2)*AW28+(1-EXP(-LN(2)/2))/(LN(2)/2)*AQ29*AT29*VLOOKUP('Données projet'!$B$10,Paramètres!$A$1:$I$89,3,0)*0.475*44/12</f>
        <v>0</v>
      </c>
      <c r="AX29" s="23">
        <f t="shared" si="6"/>
        <v>0</v>
      </c>
      <c r="AY29" s="76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9.1999999999999993</v>
      </c>
      <c r="BD29" s="13">
        <f>IF('Données projet'!$A$88&gt;35,BD28+BC29-BL28,IF(A29&lt;'Données projet'!$A$88,$BA$205^A29,IF(A29='Données projet'!$A$88,'Données projet'!$B$88,BD28+BC29-BL28)))</f>
        <v>84.200000000000017</v>
      </c>
      <c r="BE29" s="14">
        <f>BD29*VLOOKUP('Données projet'!$B$11,Paramètres!$A$1:$I$89,3,0)*VLOOKUP('Données projet'!$B$11,Paramètres!$A$1:$I$89,5,0)</f>
        <v>76.184160000000006</v>
      </c>
      <c r="BF29" s="14">
        <f t="shared" si="37"/>
        <v>21.201554232857223</v>
      </c>
      <c r="BG29" s="22">
        <f t="shared" si="7"/>
        <v>169.613452288893</v>
      </c>
      <c r="BH29" s="60">
        <f t="shared" si="8"/>
        <v>458.05789673333743</v>
      </c>
      <c r="BI29" s="60">
        <f ca="1">AVERAGE(OFFSET($BH$3,0,0,'Données projet'!$E$11+1,1))-AVERAGE(OFFSET($H$3,0,0,'Données projet'!$E$11+1,1))</f>
        <v>529.25712986118265</v>
      </c>
      <c r="BJ29" s="60">
        <f t="shared" si="38"/>
        <v>278.21741231699929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>
        <f>EXP(-LN(2)/35)*BP28+(1-EXP(-LN(2)/35))/(LN(2)/35)*BL29*BM29*VLOOKUP('Données projet'!$B$11,Paramètres!$A$1:$I$89,3,0)*0.475*44/12</f>
        <v>0</v>
      </c>
      <c r="BQ29" s="23">
        <f>EXP(-LN(2)/25)*BQ28+(1-EXP(-LN(2)/25))/(LN(2)/25)*Calculateur!BL29*Calculateur!BN29*VLOOKUP('Données projet'!$B$11,Paramètres!$A$1:$I$89,3,0)*0.475*44/12</f>
        <v>0</v>
      </c>
      <c r="BR29" s="23">
        <f>EXP(-LN(2)/2)*BR28+(1-EXP(-LN(2)/2))/(LN(2)/2)*BL29*BO29*VLOOKUP('Données projet'!$B$11,Paramètres!$A$1:$I$89,3,0)*0.475*44/12</f>
        <v>0</v>
      </c>
      <c r="BS29" s="24">
        <f t="shared" si="9"/>
        <v>0</v>
      </c>
      <c r="BT29" s="77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9.1999999999999993</v>
      </c>
      <c r="BY29" s="13">
        <f>IF('Données projet'!$A$114&gt;35,BY28+BX29-CG28,IF(A29&lt;'Données projet'!$A$114,$BV$205^A29,IF(A29='Données projet'!$A$114,'Données projet'!$B$114,BY28+BX29-CG28)))</f>
        <v>84.200000000000017</v>
      </c>
      <c r="BZ29" s="14">
        <f>BY29*VLOOKUP('Données projet'!$B$12,Paramètres!$A$1:$I$89,3,0)*VLOOKUP('Données projet'!$B$12,Paramètres!$A$1:$I$89,5,0)</f>
        <v>85.378800000000027</v>
      </c>
      <c r="CA29" s="14">
        <f t="shared" si="39"/>
        <v>23.447306793896516</v>
      </c>
      <c r="CB29" s="22">
        <f t="shared" si="10"/>
        <v>189.53880266603645</v>
      </c>
      <c r="CC29" s="60">
        <f t="shared" si="11"/>
        <v>477.98324711048087</v>
      </c>
      <c r="CD29" s="60">
        <f ca="1">AVERAGE(OFFSET($CC$3,0,0,'Données projet'!$E$12+1,1))-AVERAGE(OFFSET($H$3,0,0,'Données projet'!$E$12+1,1))</f>
        <v>587.74247372331615</v>
      </c>
      <c r="CE29" s="60">
        <f t="shared" si="40"/>
        <v>306.61893266146666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>
        <f>EXP(-LN(2)/35)*CK28+(1-EXP(-LN(2)/35))/(LN(2)/35)*CG29*CH29*VLOOKUP('Données projet'!$B$12,Paramètres!$A$1:$I$89,3,0)*0.475*44/12</f>
        <v>0</v>
      </c>
      <c r="CL29" s="23">
        <f>EXP(-LN(2)/25)*CL28+(1-EXP(-LN(2)/25))/(LN(2)/25)*Calculateur!CG29*Calculateur!CI29*VLOOKUP('Données projet'!$B$12,Paramètres!$A$1:$I$89,3,0)*0.475*44/12</f>
        <v>0</v>
      </c>
      <c r="CM29" s="23">
        <f>EXP(-LN(2)/2)*CM28+(1-EXP(-LN(2)/2))/(LN(2)/2)*CG29*CJ29*VLOOKUP('Données projet'!$B$12,Paramètres!$A$1:$I$89,3,0)*0.475*44/12</f>
        <v>0</v>
      </c>
      <c r="CN29" s="24">
        <f t="shared" si="12"/>
        <v>0</v>
      </c>
      <c r="CO29" s="77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9.1999999999999993</v>
      </c>
      <c r="CT29" s="13">
        <f>IF('Données projet'!$A$140&gt;35,CT28+CS29-DB28,IF(A29&lt;'Données projet'!$A$140,$CQ$205^A29,IF(A29='Données projet'!$A$140,'Données projet'!$B$140,CT28+CS29-DB28)))</f>
        <v>84.200000000000017</v>
      </c>
      <c r="CU29" s="18">
        <f>CT29*VLOOKUP('Données projet'!$B$13,Paramètres!$A$1:$I$89,3,0)*VLOOKUP('Données projet'!$B$13,Paramètres!$A$1:$I$89,5,0)</f>
        <v>90.632880000000014</v>
      </c>
      <c r="CV29" s="14">
        <f t="shared" si="41"/>
        <v>24.717798105117861</v>
      </c>
      <c r="CW29" s="22">
        <f t="shared" si="13"/>
        <v>200.90243103308026</v>
      </c>
      <c r="CX29" s="60">
        <f t="shared" si="14"/>
        <v>489.34687547752469</v>
      </c>
      <c r="CY29" s="60">
        <f ca="1">AVERAGE(OFFSET($CX$3,0,0,'Données projet'!$E$13+1,1))-AVERAGE(OFFSET($H$3,0,0,'Données projet'!$E$13+1,1))</f>
        <v>621.10465023992288</v>
      </c>
      <c r="CZ29" s="60">
        <f t="shared" si="42"/>
        <v>322.81767004794284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>
        <f>EXP(-LN(2)/35)*DF28+(1-EXP(-LN(2)/35))/(LN(2)/35)*DB29*DC29*VLOOKUP('Données projet'!$B$13,Paramètres!$A$1:$I$89,3,0)*0.475*44/12</f>
        <v>0</v>
      </c>
      <c r="DG29" s="23">
        <f>EXP(-LN(2)/25)*DG28+(1-EXP(-LN(2)/25))/(LN(2)/25)*Calculateur!DB29*Calculateur!DD29*VLOOKUP('Données projet'!$B$13,Paramètres!$A$1:$I$89,3,0)*0.475*44/12</f>
        <v>0</v>
      </c>
      <c r="DH29" s="23">
        <f>EXP(-LN(2)/2)*DH28+(1-EXP(-LN(2)/2))/(LN(2)/2)*DB29*DE29*VLOOKUP('Données projet'!$B$13,Paramètres!$A$1:$I$89,3,0)*0.475*44/12</f>
        <v>0</v>
      </c>
      <c r="DI29" s="24">
        <f t="shared" si="15"/>
        <v>0</v>
      </c>
      <c r="DJ29" s="77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9.1999999999999993</v>
      </c>
      <c r="DO29" s="13">
        <f>IF('Données projet'!$A$166&gt;35,DO28+DN29-DW28,IF(A29&lt;'Données projet'!$A$166,$DL$205^A29,IF(A29='Données projet'!$A$166,'Données projet'!$B$166,DO28+DN29-DW28)))</f>
        <v>84.200000000000017</v>
      </c>
      <c r="DP29" s="18">
        <f>DO29*VLOOKUP('Données projet'!$B$14,Paramètres!$A$1:$I$89,3,0)*VLOOKUP('Données projet'!$B$14,Paramètres!$A$1:$I$89,5,0)</f>
        <v>81.438240000000022</v>
      </c>
      <c r="DQ29" s="14">
        <f t="shared" si="43"/>
        <v>22.488475778344696</v>
      </c>
      <c r="DR29" s="22">
        <f t="shared" si="16"/>
        <v>181.00569664728371</v>
      </c>
      <c r="DS29" s="60">
        <f t="shared" si="17"/>
        <v>469.45014109172814</v>
      </c>
      <c r="DT29" s="60">
        <f ca="1">AVERAGE(OFFSET($DS$3,0,0,'Données projet'!$E$14+1,1))-AVERAGE(OFFSET($H$3,0,0,'Données projet'!$E$14+1,1))</f>
        <v>562.69380557620775</v>
      </c>
      <c r="DU29" s="60">
        <f t="shared" si="44"/>
        <v>294.45557293177131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>
        <f>EXP(-LN(2)/35)*EA28+(1-EXP(-LN(2)/35))/(LN(2)/35)*DW29*DX29*VLOOKUP('Données projet'!$B$14,Paramètres!$A$1:$I$89,3,0)*0.475*44/12</f>
        <v>0</v>
      </c>
      <c r="EB29" s="23">
        <f>EXP(-LN(2)/25)*EB28+(1-EXP(-LN(2)/25))/(LN(2)/25)*Calculateur!DW29*Calculateur!DY29*VLOOKUP('Données projet'!$B$14,Paramètres!$A$1:$I$89,3,0)*0.475*44/12</f>
        <v>0</v>
      </c>
      <c r="EC29" s="23">
        <f>EXP(-LN(2)/2)*EC28+(1-EXP(-LN(2)/2))/(LN(2)/2)*DW29*DZ29*VLOOKUP('Données projet'!$B$14,Paramètres!$A$1:$I$89,3,0)*0.475*44/12</f>
        <v>0</v>
      </c>
      <c r="ED29" s="24">
        <f t="shared" si="18"/>
        <v>0</v>
      </c>
      <c r="EE29" s="77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11.5</v>
      </c>
      <c r="EJ29" s="13">
        <f>IF('Données projet'!$A$192&gt;35,EJ28+EI29-ER28,IF(A29&lt;'Données projet'!$A$192,$EG$205^A29,IF(A29='Données projet'!$A$192,'Données projet'!$B$192,EJ28+EI29-ER28)))</f>
        <v>97.499999999999972</v>
      </c>
      <c r="EK29" s="18">
        <f>EJ29*VLOOKUP('Données projet'!$B$15,Paramètres!$A$1:$I$89,3,0)*VLOOKUP('Données projet'!$B$15,Paramètres!$A$1:$I$89,5,0)</f>
        <v>76.049999999999983</v>
      </c>
      <c r="EL29" s="14">
        <f t="shared" si="45"/>
        <v>21.168560890749262</v>
      </c>
      <c r="EM29" s="22">
        <f t="shared" si="19"/>
        <v>169.32232688472158</v>
      </c>
      <c r="EN29" s="60">
        <f t="shared" si="20"/>
        <v>457.76677132916603</v>
      </c>
      <c r="EO29" s="60">
        <f ca="1">AVERAGE(OFFSET($EN$3,0,0,'Données projet'!$E$15+1,1))-AVERAGE(OFFSET($H$3,0,0,'Données projet'!$E$15+1,1))</f>
        <v>292.57482726862594</v>
      </c>
      <c r="EP29" s="60">
        <f t="shared" si="46"/>
        <v>283.48738729114024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>
        <f>EXP(-LN(2)/35)*EV28+(1-EXP(-LN(2)/35))/(LN(2)/35)*ER29*ES29*VLOOKUP('Données projet'!$B$15,Paramètres!$A$1:$I$89,3,0)*0.475*44/12</f>
        <v>0</v>
      </c>
      <c r="EW29" s="23">
        <f>EXP(-LN(2)/25)*EW28+(1-EXP(-LN(2)/25))/(LN(2)/25)*Calculateur!ER29*Calculateur!ET29*VLOOKUP('Données projet'!$B$15,Paramètres!$A$1:$I$89,3,0)*0.475*44/12</f>
        <v>0</v>
      </c>
      <c r="EX29" s="23">
        <f>EXP(-LN(2)/2)*EX28+(1-EXP(-LN(2)/2))/(LN(2)/2)*ER29*EU29*VLOOKUP('Données projet'!$B$15,Paramètres!$A$1:$I$89,3,0)*0.475*44/12</f>
        <v>0</v>
      </c>
      <c r="EY29" s="24">
        <f t="shared" si="21"/>
        <v>0</v>
      </c>
      <c r="EZ29" s="77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0" t="e">
        <f t="shared" si="23"/>
        <v>#N/A</v>
      </c>
      <c r="FJ29" s="60" t="e">
        <f ca="1">AVERAGE(OFFSET($FI$3,0,0,'Données projet'!$E$16+1,1))-AVERAGE(OFFSET($H$3,0,0,'Données projet'!$E$16+1,1))</f>
        <v>#N/A</v>
      </c>
      <c r="FK29" s="60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77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0" t="e">
        <f t="shared" si="26"/>
        <v>#N/A</v>
      </c>
      <c r="GE29" s="60" t="e">
        <f ca="1">AVERAGE(OFFSET($GD$3,0,0,'Données projet'!$E$17+1,1))-AVERAGE(OFFSET($H$3,0,0,'Données projet'!$E$17+1,1))</f>
        <v>#N/A</v>
      </c>
      <c r="GF29" s="60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77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0" t="e">
        <f t="shared" si="29"/>
        <v>#N/A</v>
      </c>
      <c r="GZ29" s="60" t="e">
        <f ca="1">AVERAGE(OFFSET($GY$3,0,0,'Données projet'!$E$18+1,1))-AVERAGE(OFFSET($H$3,0,0,'Données projet'!$E$18+1,1))</f>
        <v>#N/A</v>
      </c>
      <c r="HA29" s="60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25">
      <c r="A30" s="11">
        <f t="shared" si="31"/>
        <v>27</v>
      </c>
      <c r="B30" s="74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2">
        <f t="shared" si="32"/>
        <v>0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0</v>
      </c>
      <c r="H30" s="67">
        <f t="shared" si="1"/>
        <v>256.66666666666669</v>
      </c>
      <c r="I30" s="7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7.4358974358974335</v>
      </c>
      <c r="N30" s="14">
        <f>IF('Données projet'!$A$36&gt;35,N29+M30-V29,IF(A30&lt;'Données projet'!$A$36,$K$205^A30,IF(A30='Données projet'!$A$36,'Données projet'!$B$36,N29+M30-V29)))</f>
        <v>116.15384615384616</v>
      </c>
      <c r="O30" s="14">
        <f>N30*VLOOKUP('Données projet'!$B$9,Paramètres!$A$1:$I$89,3,0)*VLOOKUP('Données projet'!$B$9,Paramètres!$A$1:$I$89,5,0)</f>
        <v>110.53200000000002</v>
      </c>
      <c r="P30" s="14">
        <f t="shared" si="33"/>
        <v>29.456292704151686</v>
      </c>
      <c r="Q30" s="22">
        <f t="shared" si="2"/>
        <v>243.81294312639758</v>
      </c>
      <c r="R30" s="60">
        <f t="shared" si="0"/>
        <v>533.47960979306424</v>
      </c>
      <c r="S30" s="60">
        <f ca="1">AVERAGE(OFFSET($R$3,0,0,'Données projet'!$E$9+1,1))-AVERAGE(OFFSET($H$3,0,0,'Données projet'!$E$9+1,1))</f>
        <v>403.49781966317852</v>
      </c>
      <c r="T30" s="60">
        <f t="shared" si="34"/>
        <v>326.06674572505409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0</v>
      </c>
      <c r="AA30" s="23">
        <f>EXP(-LN(2)/25)*AA29+(1-EXP(-LN(2)/25))/(LN(2)/25)*Calculateur!V30*Calculateur!X30*VLOOKUP('Données projet'!$B$9,Paramètres!$A$1:$I$89,3,0)*0.475*44/12</f>
        <v>0</v>
      </c>
      <c r="AB30" s="23">
        <f>EXP(-LN(2)/2)*AB29+(1-EXP(-LN(2)/2))/(LN(2)/2)*V30*Y30*VLOOKUP('Données projet'!$B$9,Paramètres!$A$1:$I$89,3,0)*0.475*44/12</f>
        <v>0</v>
      </c>
      <c r="AC30" s="24">
        <f t="shared" si="3"/>
        <v>0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9.8000000000000007</v>
      </c>
      <c r="AI30" s="14">
        <f>IF('Données projet'!$A$62&gt;35,AI29+AH30-AQ29,IF(A30&lt;'Données projet'!$A$62,$AF$205^A30,IF(A30='Données projet'!$A$62,'Données projet'!$B$62,AI29+AH30-AQ29)))</f>
        <v>84.6</v>
      </c>
      <c r="AJ30" s="14">
        <f>AI30*VLOOKUP('Données projet'!$B$10,Paramètres!$A$1:$I$89,3,0)*VLOOKUP('Données projet'!$B$10,Paramètres!$A$1:$I$89,5,0)</f>
        <v>73.906560000000013</v>
      </c>
      <c r="AK30" s="14">
        <f t="shared" si="35"/>
        <v>20.640506648584481</v>
      </c>
      <c r="AL30" s="22">
        <f t="shared" si="4"/>
        <v>164.6694744129513</v>
      </c>
      <c r="AM30" s="60">
        <f t="shared" si="5"/>
        <v>454.33614107961796</v>
      </c>
      <c r="AN30" s="60">
        <f ca="1">AVERAGE(OFFSET($AM$3,0,0,'Données projet'!$E$10+1,1))-AVERAGE(OFFSET($H$3,0,0,'Données projet'!$E$10+1,1))</f>
        <v>274.66236526869056</v>
      </c>
      <c r="AO30" s="60">
        <f t="shared" si="36"/>
        <v>256.90876395053073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>
        <f>EXP(-LN(2)/35)*AU29+(1-EXP(-LN(2)/35))/(LN(2)/35)*AQ30*AR30*VLOOKUP('Données projet'!$B$10,Paramètres!$A$1:$I$89,3,0)*0.475*44/12</f>
        <v>0</v>
      </c>
      <c r="AV30" s="23">
        <f>EXP(-LN(2)/25)*AV29+(1-EXP(-LN(2)/25))/(LN(2)/25)*Calculateur!AQ30*Calculateur!AS30*VLOOKUP('Données projet'!$B$10,Paramètres!$A$1:$I$89,3,0)*0.475*44/12</f>
        <v>0</v>
      </c>
      <c r="AW30" s="23">
        <f>EXP(-LN(2)/2)*AW29+(1-EXP(-LN(2)/2))/(LN(2)/2)*AQ30*AT30*VLOOKUP('Données projet'!$B$10,Paramètres!$A$1:$I$89,3,0)*0.475*44/12</f>
        <v>0</v>
      </c>
      <c r="AX30" s="23">
        <f t="shared" si="6"/>
        <v>0</v>
      </c>
      <c r="AY30" s="76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9.1999999999999993</v>
      </c>
      <c r="BD30" s="13">
        <f>IF('Données projet'!$A$88&gt;35,BD29+BC30-BL29,IF(A30&lt;'Données projet'!$A$88,$BA$205^A30,IF(A30='Données projet'!$A$88,'Données projet'!$B$88,BD29+BC30-BL29)))</f>
        <v>93.40000000000002</v>
      </c>
      <c r="BE30" s="14">
        <f>BD30*VLOOKUP('Données projet'!$B$11,Paramètres!$A$1:$I$89,3,0)*VLOOKUP('Données projet'!$B$11,Paramètres!$A$1:$I$89,5,0)</f>
        <v>84.508320000000026</v>
      </c>
      <c r="BF30" s="14">
        <f t="shared" si="37"/>
        <v>23.235950088324714</v>
      </c>
      <c r="BG30" s="22">
        <f t="shared" si="7"/>
        <v>187.65460373716556</v>
      </c>
      <c r="BH30" s="60">
        <f t="shared" si="8"/>
        <v>477.32127040383227</v>
      </c>
      <c r="BI30" s="60">
        <f ca="1">AVERAGE(OFFSET($BH$3,0,0,'Données projet'!$E$11+1,1))-AVERAGE(OFFSET($H$3,0,0,'Données projet'!$E$11+1,1))</f>
        <v>529.25712986118265</v>
      </c>
      <c r="BJ30" s="60">
        <f t="shared" si="38"/>
        <v>278.21741231699929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>
        <f>EXP(-LN(2)/35)*BP29+(1-EXP(-LN(2)/35))/(LN(2)/35)*BL30*BM30*VLOOKUP('Données projet'!$B$11,Paramètres!$A$1:$I$89,3,0)*0.475*44/12</f>
        <v>0</v>
      </c>
      <c r="BQ30" s="23">
        <f>EXP(-LN(2)/25)*BQ29+(1-EXP(-LN(2)/25))/(LN(2)/25)*Calculateur!BL30*Calculateur!BN30*VLOOKUP('Données projet'!$B$11,Paramètres!$A$1:$I$89,3,0)*0.475*44/12</f>
        <v>0</v>
      </c>
      <c r="BR30" s="23">
        <f>EXP(-LN(2)/2)*BR29+(1-EXP(-LN(2)/2))/(LN(2)/2)*BL30*BO30*VLOOKUP('Données projet'!$B$11,Paramètres!$A$1:$I$89,3,0)*0.475*44/12</f>
        <v>0</v>
      </c>
      <c r="BS30" s="24">
        <f t="shared" si="9"/>
        <v>0</v>
      </c>
      <c r="BT30" s="77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9.1999999999999993</v>
      </c>
      <c r="BY30" s="13">
        <f>IF('Données projet'!$A$114&gt;35,BY29+BX30-CG29,IF(A30&lt;'Données projet'!$A$114,$BV$205^A30,IF(A30='Données projet'!$A$114,'Données projet'!$B$114,BY29+BX30-CG29)))</f>
        <v>93.40000000000002</v>
      </c>
      <c r="BZ30" s="14">
        <f>BY30*VLOOKUP('Données projet'!$B$12,Paramètres!$A$1:$I$89,3,0)*VLOOKUP('Données projet'!$B$12,Paramètres!$A$1:$I$89,5,0)</f>
        <v>94.707600000000028</v>
      </c>
      <c r="CA30" s="14">
        <f t="shared" si="39"/>
        <v>25.697193912523566</v>
      </c>
      <c r="CB30" s="22">
        <f t="shared" si="10"/>
        <v>209.70501606431188</v>
      </c>
      <c r="CC30" s="60">
        <f t="shared" si="11"/>
        <v>499.37168273097859</v>
      </c>
      <c r="CD30" s="60">
        <f ca="1">AVERAGE(OFFSET($CC$3,0,0,'Données projet'!$E$12+1,1))-AVERAGE(OFFSET($H$3,0,0,'Données projet'!$E$12+1,1))</f>
        <v>587.74247372331615</v>
      </c>
      <c r="CE30" s="60">
        <f t="shared" si="40"/>
        <v>306.61893266146666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>
        <f>EXP(-LN(2)/35)*CK29+(1-EXP(-LN(2)/35))/(LN(2)/35)*CG30*CH30*VLOOKUP('Données projet'!$B$12,Paramètres!$A$1:$I$89,3,0)*0.475*44/12</f>
        <v>0</v>
      </c>
      <c r="CL30" s="23">
        <f>EXP(-LN(2)/25)*CL29+(1-EXP(-LN(2)/25))/(LN(2)/25)*Calculateur!CG30*Calculateur!CI30*VLOOKUP('Données projet'!$B$12,Paramètres!$A$1:$I$89,3,0)*0.475*44/12</f>
        <v>0</v>
      </c>
      <c r="CM30" s="23">
        <f>EXP(-LN(2)/2)*CM29+(1-EXP(-LN(2)/2))/(LN(2)/2)*CG30*CJ30*VLOOKUP('Données projet'!$B$12,Paramètres!$A$1:$I$89,3,0)*0.475*44/12</f>
        <v>0</v>
      </c>
      <c r="CN30" s="24">
        <f t="shared" si="12"/>
        <v>0</v>
      </c>
      <c r="CO30" s="77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9.1999999999999993</v>
      </c>
      <c r="CT30" s="13">
        <f>IF('Données projet'!$A$140&gt;35,CT29+CS30-DB29,IF(A30&lt;'Données projet'!$A$140,$CQ$205^A30,IF(A30='Données projet'!$A$140,'Données projet'!$B$140,CT29+CS30-DB29)))</f>
        <v>93.40000000000002</v>
      </c>
      <c r="CU30" s="18">
        <f>CT30*VLOOKUP('Données projet'!$B$13,Paramètres!$A$1:$I$89,3,0)*VLOOKUP('Données projet'!$B$13,Paramètres!$A$1:$I$89,5,0)</f>
        <v>100.53576000000002</v>
      </c>
      <c r="CV30" s="14">
        <f t="shared" si="41"/>
        <v>27.08959526060206</v>
      </c>
      <c r="CW30" s="22">
        <f t="shared" si="13"/>
        <v>222.28082707888197</v>
      </c>
      <c r="CX30" s="60">
        <f t="shared" si="14"/>
        <v>511.94749374554863</v>
      </c>
      <c r="CY30" s="60">
        <f ca="1">AVERAGE(OFFSET($CX$3,0,0,'Données projet'!$E$13+1,1))-AVERAGE(OFFSET($H$3,0,0,'Données projet'!$E$13+1,1))</f>
        <v>621.10465023992288</v>
      </c>
      <c r="CZ30" s="60">
        <f t="shared" si="42"/>
        <v>322.81767004794284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>
        <f>EXP(-LN(2)/35)*DF29+(1-EXP(-LN(2)/35))/(LN(2)/35)*DB30*DC30*VLOOKUP('Données projet'!$B$13,Paramètres!$A$1:$I$89,3,0)*0.475*44/12</f>
        <v>0</v>
      </c>
      <c r="DG30" s="23">
        <f>EXP(-LN(2)/25)*DG29+(1-EXP(-LN(2)/25))/(LN(2)/25)*Calculateur!DB30*Calculateur!DD30*VLOOKUP('Données projet'!$B$13,Paramètres!$A$1:$I$89,3,0)*0.475*44/12</f>
        <v>0</v>
      </c>
      <c r="DH30" s="23">
        <f>EXP(-LN(2)/2)*DH29+(1-EXP(-LN(2)/2))/(LN(2)/2)*DB30*DE30*VLOOKUP('Données projet'!$B$13,Paramètres!$A$1:$I$89,3,0)*0.475*44/12</f>
        <v>0</v>
      </c>
      <c r="DI30" s="24">
        <f t="shared" si="15"/>
        <v>0</v>
      </c>
      <c r="DJ30" s="77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9.1999999999999993</v>
      </c>
      <c r="DO30" s="13">
        <f>IF('Données projet'!$A$166&gt;35,DO29+DN30-DW29,IF(A30&lt;'Données projet'!$A$166,$DL$205^A30,IF(A30='Données projet'!$A$166,'Données projet'!$B$166,DO29+DN30-DW29)))</f>
        <v>93.40000000000002</v>
      </c>
      <c r="DP30" s="18">
        <f>DO30*VLOOKUP('Données projet'!$B$14,Paramètres!$A$1:$I$89,3,0)*VLOOKUP('Données projet'!$B$14,Paramètres!$A$1:$I$89,5,0)</f>
        <v>90.336480000000023</v>
      </c>
      <c r="DQ30" s="14">
        <f t="shared" si="43"/>
        <v>24.646358234355564</v>
      </c>
      <c r="DR30" s="22">
        <f t="shared" si="16"/>
        <v>200.26177659150264</v>
      </c>
      <c r="DS30" s="60">
        <f t="shared" si="17"/>
        <v>489.9284432581693</v>
      </c>
      <c r="DT30" s="60">
        <f ca="1">AVERAGE(OFFSET($DS$3,0,0,'Données projet'!$E$14+1,1))-AVERAGE(OFFSET($H$3,0,0,'Données projet'!$E$14+1,1))</f>
        <v>562.69380557620775</v>
      </c>
      <c r="DU30" s="60">
        <f t="shared" si="44"/>
        <v>294.45557293177131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>
        <f>EXP(-LN(2)/35)*EA29+(1-EXP(-LN(2)/35))/(LN(2)/35)*DW30*DX30*VLOOKUP('Données projet'!$B$14,Paramètres!$A$1:$I$89,3,0)*0.475*44/12</f>
        <v>0</v>
      </c>
      <c r="EB30" s="23">
        <f>EXP(-LN(2)/25)*EB29+(1-EXP(-LN(2)/25))/(LN(2)/25)*Calculateur!DW30*Calculateur!DY30*VLOOKUP('Données projet'!$B$14,Paramètres!$A$1:$I$89,3,0)*0.475*44/12</f>
        <v>0</v>
      </c>
      <c r="EC30" s="23">
        <f>EXP(-LN(2)/2)*EC29+(1-EXP(-LN(2)/2))/(LN(2)/2)*DW30*DZ30*VLOOKUP('Données projet'!$B$14,Paramètres!$A$1:$I$89,3,0)*0.475*44/12</f>
        <v>0</v>
      </c>
      <c r="ED30" s="24">
        <f t="shared" si="18"/>
        <v>0</v>
      </c>
      <c r="EE30" s="77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11.5</v>
      </c>
      <c r="EJ30" s="13">
        <f>IF('Données projet'!$A$192&gt;35,EJ29+EI30-ER29,IF(A30&lt;'Données projet'!$A$192,$EG$205^A30,IF(A30='Données projet'!$A$192,'Données projet'!$B$192,EJ29+EI30-ER29)))</f>
        <v>108.99999999999997</v>
      </c>
      <c r="EK30" s="18">
        <f>EJ30*VLOOKUP('Données projet'!$B$15,Paramètres!$A$1:$I$89,3,0)*VLOOKUP('Données projet'!$B$15,Paramètres!$A$1:$I$89,5,0)</f>
        <v>85.019999999999982</v>
      </c>
      <c r="EL30" s="14">
        <f t="shared" si="45"/>
        <v>23.360218970693108</v>
      </c>
      <c r="EM30" s="22">
        <f t="shared" si="19"/>
        <v>188.76221470729047</v>
      </c>
      <c r="EN30" s="60">
        <f t="shared" si="20"/>
        <v>478.42888137395715</v>
      </c>
      <c r="EO30" s="60">
        <f ca="1">AVERAGE(OFFSET($EN$3,0,0,'Données projet'!$E$15+1,1))-AVERAGE(OFFSET($H$3,0,0,'Données projet'!$E$15+1,1))</f>
        <v>292.57482726862594</v>
      </c>
      <c r="EP30" s="60">
        <f t="shared" si="46"/>
        <v>283.48738729114024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>
        <f>EXP(-LN(2)/35)*EV29+(1-EXP(-LN(2)/35))/(LN(2)/35)*ER30*ES30*VLOOKUP('Données projet'!$B$15,Paramètres!$A$1:$I$89,3,0)*0.475*44/12</f>
        <v>0</v>
      </c>
      <c r="EW30" s="23">
        <f>EXP(-LN(2)/25)*EW29+(1-EXP(-LN(2)/25))/(LN(2)/25)*Calculateur!ER30*Calculateur!ET30*VLOOKUP('Données projet'!$B$15,Paramètres!$A$1:$I$89,3,0)*0.475*44/12</f>
        <v>0</v>
      </c>
      <c r="EX30" s="23">
        <f>EXP(-LN(2)/2)*EX29+(1-EXP(-LN(2)/2))/(LN(2)/2)*ER30*EU30*VLOOKUP('Données projet'!$B$15,Paramètres!$A$1:$I$89,3,0)*0.475*44/12</f>
        <v>0</v>
      </c>
      <c r="EY30" s="24">
        <f t="shared" si="21"/>
        <v>0</v>
      </c>
      <c r="EZ30" s="77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0" t="e">
        <f t="shared" si="23"/>
        <v>#N/A</v>
      </c>
      <c r="FJ30" s="60" t="e">
        <f ca="1">AVERAGE(OFFSET($FI$3,0,0,'Données projet'!$E$16+1,1))-AVERAGE(OFFSET($H$3,0,0,'Données projet'!$E$16+1,1))</f>
        <v>#N/A</v>
      </c>
      <c r="FK30" s="60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77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0" t="e">
        <f t="shared" si="26"/>
        <v>#N/A</v>
      </c>
      <c r="GE30" s="60" t="e">
        <f ca="1">AVERAGE(OFFSET($GD$3,0,0,'Données projet'!$E$17+1,1))-AVERAGE(OFFSET($H$3,0,0,'Données projet'!$E$17+1,1))</f>
        <v>#N/A</v>
      </c>
      <c r="GF30" s="60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77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0" t="e">
        <f t="shared" si="29"/>
        <v>#N/A</v>
      </c>
      <c r="GZ30" s="60" t="e">
        <f ca="1">AVERAGE(OFFSET($GY$3,0,0,'Données projet'!$E$18+1,1))-AVERAGE(OFFSET($H$3,0,0,'Données projet'!$E$18+1,1))</f>
        <v>#N/A</v>
      </c>
      <c r="HA30" s="60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25">
      <c r="A31" s="11">
        <f t="shared" si="31"/>
        <v>28</v>
      </c>
      <c r="B31" s="74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2">
        <f t="shared" si="32"/>
        <v>0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0</v>
      </c>
      <c r="H31" s="67">
        <f t="shared" si="1"/>
        <v>256.66666666666669</v>
      </c>
      <c r="I31" s="7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7.4358974358974335</v>
      </c>
      <c r="N31" s="14">
        <f>IF('Données projet'!$A$36&gt;35,N30+M31-V30,IF(A31&lt;'Données projet'!$A$36,$K$205^A31,IF(A31='Données projet'!$A$36,'Données projet'!$B$36,N30+M31-V30)))</f>
        <v>123.58974358974359</v>
      </c>
      <c r="O31" s="14">
        <f>N31*VLOOKUP('Données projet'!$B$9,Paramètres!$A$1:$I$89,3,0)*VLOOKUP('Données projet'!$B$9,Paramètres!$A$1:$I$89,5,0)</f>
        <v>117.608</v>
      </c>
      <c r="P31" s="14">
        <f t="shared" si="33"/>
        <v>31.11645249810654</v>
      </c>
      <c r="Q31" s="22">
        <f t="shared" si="2"/>
        <v>259.02842143420224</v>
      </c>
      <c r="R31" s="60">
        <f t="shared" si="0"/>
        <v>549.9173103230911</v>
      </c>
      <c r="S31" s="60">
        <f ca="1">AVERAGE(OFFSET($R$3,0,0,'Données projet'!$E$9+1,1))-AVERAGE(OFFSET($H$3,0,0,'Données projet'!$E$9+1,1))</f>
        <v>403.49781966317852</v>
      </c>
      <c r="T31" s="60">
        <f t="shared" si="34"/>
        <v>326.06674572505409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0</v>
      </c>
      <c r="AA31" s="23">
        <f>EXP(-LN(2)/25)*AA30+(1-EXP(-LN(2)/25))/(LN(2)/25)*Calculateur!V31*Calculateur!X31*VLOOKUP('Données projet'!$B$9,Paramètres!$A$1:$I$89,3,0)*0.475*44/12</f>
        <v>0</v>
      </c>
      <c r="AB31" s="23">
        <f>EXP(-LN(2)/2)*AB30+(1-EXP(-LN(2)/2))/(LN(2)/2)*V31*Y31*VLOOKUP('Données projet'!$B$9,Paramètres!$A$1:$I$89,3,0)*0.475*44/12</f>
        <v>0</v>
      </c>
      <c r="AC31" s="24">
        <f t="shared" si="3"/>
        <v>0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9.8000000000000007</v>
      </c>
      <c r="AI31" s="14">
        <f>IF('Données projet'!$A$62&gt;35,AI30+AH31-AQ30,IF(A31&lt;'Données projet'!$A$62,$AF$205^A31,IF(A31='Données projet'!$A$62,'Données projet'!$B$62,AI30+AH31-AQ30)))</f>
        <v>94.399999999999991</v>
      </c>
      <c r="AJ31" s="14">
        <f>AI31*VLOOKUP('Données projet'!$B$10,Paramètres!$A$1:$I$89,3,0)*VLOOKUP('Données projet'!$B$10,Paramètres!$A$1:$I$89,5,0)</f>
        <v>82.467839999999995</v>
      </c>
      <c r="AK31" s="14">
        <f t="shared" si="35"/>
        <v>22.739512759227473</v>
      </c>
      <c r="AL31" s="22">
        <f t="shared" si="4"/>
        <v>183.23613938898782</v>
      </c>
      <c r="AM31" s="60">
        <f t="shared" si="5"/>
        <v>474.12502827787671</v>
      </c>
      <c r="AN31" s="60">
        <f ca="1">AVERAGE(OFFSET($AM$3,0,0,'Données projet'!$E$10+1,1))-AVERAGE(OFFSET($H$3,0,0,'Données projet'!$E$10+1,1))</f>
        <v>274.66236526869056</v>
      </c>
      <c r="AO31" s="60">
        <f t="shared" si="36"/>
        <v>256.90876395053073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>
        <f>EXP(-LN(2)/35)*AU30+(1-EXP(-LN(2)/35))/(LN(2)/35)*AQ31*AR31*VLOOKUP('Données projet'!$B$10,Paramètres!$A$1:$I$89,3,0)*0.475*44/12</f>
        <v>0</v>
      </c>
      <c r="AV31" s="23">
        <f>EXP(-LN(2)/25)*AV30+(1-EXP(-LN(2)/25))/(LN(2)/25)*Calculateur!AQ31*Calculateur!AS31*VLOOKUP('Données projet'!$B$10,Paramètres!$A$1:$I$89,3,0)*0.475*44/12</f>
        <v>0</v>
      </c>
      <c r="AW31" s="23">
        <f>EXP(-LN(2)/2)*AW30+(1-EXP(-LN(2)/2))/(LN(2)/2)*AQ31*AT31*VLOOKUP('Données projet'!$B$10,Paramètres!$A$1:$I$89,3,0)*0.475*44/12</f>
        <v>0</v>
      </c>
      <c r="AX31" s="23">
        <f t="shared" si="6"/>
        <v>0</v>
      </c>
      <c r="AY31" s="76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9.1999999999999993</v>
      </c>
      <c r="BD31" s="13">
        <f>IF('Données projet'!$A$88&gt;35,BD30+BC31-BL30,IF(A31&lt;'Données projet'!$A$88,$BA$205^A31,IF(A31='Données projet'!$A$88,'Données projet'!$B$88,BD30+BC31-BL30)))</f>
        <v>102.60000000000002</v>
      </c>
      <c r="BE31" s="14">
        <f>BD31*VLOOKUP('Données projet'!$B$11,Paramètres!$A$1:$I$89,3,0)*VLOOKUP('Données projet'!$B$11,Paramètres!$A$1:$I$89,5,0)</f>
        <v>92.832480000000018</v>
      </c>
      <c r="BF31" s="14">
        <f t="shared" si="37"/>
        <v>25.247114117480137</v>
      </c>
      <c r="BG31" s="22">
        <f t="shared" si="7"/>
        <v>205.65529308794461</v>
      </c>
      <c r="BH31" s="60">
        <f t="shared" si="8"/>
        <v>496.54418197683344</v>
      </c>
      <c r="BI31" s="60">
        <f ca="1">AVERAGE(OFFSET($BH$3,0,0,'Données projet'!$E$11+1,1))-AVERAGE(OFFSET($H$3,0,0,'Données projet'!$E$11+1,1))</f>
        <v>529.25712986118265</v>
      </c>
      <c r="BJ31" s="60">
        <f t="shared" si="38"/>
        <v>278.21741231699929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>
        <f>EXP(-LN(2)/35)*BP30+(1-EXP(-LN(2)/35))/(LN(2)/35)*BL31*BM31*VLOOKUP('Données projet'!$B$11,Paramètres!$A$1:$I$89,3,0)*0.475*44/12</f>
        <v>0</v>
      </c>
      <c r="BQ31" s="23">
        <f>EXP(-LN(2)/25)*BQ30+(1-EXP(-LN(2)/25))/(LN(2)/25)*Calculateur!BL31*Calculateur!BN31*VLOOKUP('Données projet'!$B$11,Paramètres!$A$1:$I$89,3,0)*0.475*44/12</f>
        <v>0</v>
      </c>
      <c r="BR31" s="23">
        <f>EXP(-LN(2)/2)*BR30+(1-EXP(-LN(2)/2))/(LN(2)/2)*BL31*BO31*VLOOKUP('Données projet'!$B$11,Paramètres!$A$1:$I$89,3,0)*0.475*44/12</f>
        <v>0</v>
      </c>
      <c r="BS31" s="24">
        <f t="shared" si="9"/>
        <v>0</v>
      </c>
      <c r="BT31" s="77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9.1999999999999993</v>
      </c>
      <c r="BY31" s="13">
        <f>IF('Données projet'!$A$114&gt;35,BY30+BX31-CG30,IF(A31&lt;'Données projet'!$A$114,$BV$205^A31,IF(A31='Données projet'!$A$114,'Données projet'!$B$114,BY30+BX31-CG30)))</f>
        <v>102.60000000000002</v>
      </c>
      <c r="BZ31" s="14">
        <f>BY31*VLOOKUP('Données projet'!$B$12,Paramètres!$A$1:$I$89,3,0)*VLOOKUP('Données projet'!$B$12,Paramètres!$A$1:$I$89,5,0)</f>
        <v>104.03640000000003</v>
      </c>
      <c r="CA31" s="14">
        <f t="shared" si="39"/>
        <v>27.921388397820998</v>
      </c>
      <c r="CB31" s="22">
        <f t="shared" si="10"/>
        <v>229.82648145953826</v>
      </c>
      <c r="CC31" s="60">
        <f t="shared" si="11"/>
        <v>520.71537034842709</v>
      </c>
      <c r="CD31" s="60">
        <f ca="1">AVERAGE(OFFSET($CC$3,0,0,'Données projet'!$E$12+1,1))-AVERAGE(OFFSET($H$3,0,0,'Données projet'!$E$12+1,1))</f>
        <v>587.74247372331615</v>
      </c>
      <c r="CE31" s="60">
        <f t="shared" si="40"/>
        <v>306.61893266146666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>
        <f>EXP(-LN(2)/35)*CK30+(1-EXP(-LN(2)/35))/(LN(2)/35)*CG31*CH31*VLOOKUP('Données projet'!$B$12,Paramètres!$A$1:$I$89,3,0)*0.475*44/12</f>
        <v>0</v>
      </c>
      <c r="CL31" s="23">
        <f>EXP(-LN(2)/25)*CL30+(1-EXP(-LN(2)/25))/(LN(2)/25)*Calculateur!CG31*Calculateur!CI31*VLOOKUP('Données projet'!$B$12,Paramètres!$A$1:$I$89,3,0)*0.475*44/12</f>
        <v>0</v>
      </c>
      <c r="CM31" s="23">
        <f>EXP(-LN(2)/2)*CM30+(1-EXP(-LN(2)/2))/(LN(2)/2)*CG31*CJ31*VLOOKUP('Données projet'!$B$12,Paramètres!$A$1:$I$89,3,0)*0.475*44/12</f>
        <v>0</v>
      </c>
      <c r="CN31" s="24">
        <f t="shared" si="12"/>
        <v>0</v>
      </c>
      <c r="CO31" s="77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9.1999999999999993</v>
      </c>
      <c r="CT31" s="13">
        <f>IF('Données projet'!$A$140&gt;35,CT30+CS31-DB30,IF(A31&lt;'Données projet'!$A$140,$CQ$205^A31,IF(A31='Données projet'!$A$140,'Données projet'!$B$140,CT30+CS31-DB30)))</f>
        <v>102.60000000000002</v>
      </c>
      <c r="CU31" s="18">
        <f>CT31*VLOOKUP('Données projet'!$B$13,Paramètres!$A$1:$I$89,3,0)*VLOOKUP('Données projet'!$B$13,Paramètres!$A$1:$I$89,5,0)</f>
        <v>110.43864000000002</v>
      </c>
      <c r="CV31" s="14">
        <f t="shared" si="41"/>
        <v>29.434307628523538</v>
      </c>
      <c r="CW31" s="22">
        <f t="shared" si="13"/>
        <v>243.61205045301185</v>
      </c>
      <c r="CX31" s="60">
        <f t="shared" si="14"/>
        <v>534.50093934190068</v>
      </c>
      <c r="CY31" s="60">
        <f ca="1">AVERAGE(OFFSET($CX$3,0,0,'Données projet'!$E$13+1,1))-AVERAGE(OFFSET($H$3,0,0,'Données projet'!$E$13+1,1))</f>
        <v>621.10465023992288</v>
      </c>
      <c r="CZ31" s="60">
        <f t="shared" si="42"/>
        <v>322.81767004794284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>
        <f>EXP(-LN(2)/35)*DF30+(1-EXP(-LN(2)/35))/(LN(2)/35)*DB31*DC31*VLOOKUP('Données projet'!$B$13,Paramètres!$A$1:$I$89,3,0)*0.475*44/12</f>
        <v>0</v>
      </c>
      <c r="DG31" s="23">
        <f>EXP(-LN(2)/25)*DG30+(1-EXP(-LN(2)/25))/(LN(2)/25)*Calculateur!DB31*Calculateur!DD31*VLOOKUP('Données projet'!$B$13,Paramètres!$A$1:$I$89,3,0)*0.475*44/12</f>
        <v>0</v>
      </c>
      <c r="DH31" s="23">
        <f>EXP(-LN(2)/2)*DH30+(1-EXP(-LN(2)/2))/(LN(2)/2)*DB31*DE31*VLOOKUP('Données projet'!$B$13,Paramètres!$A$1:$I$89,3,0)*0.475*44/12</f>
        <v>0</v>
      </c>
      <c r="DI31" s="24">
        <f t="shared" si="15"/>
        <v>0</v>
      </c>
      <c r="DJ31" s="77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9.1999999999999993</v>
      </c>
      <c r="DO31" s="13">
        <f>IF('Données projet'!$A$166&gt;35,DO30+DN31-DW30,IF(A31&lt;'Données projet'!$A$166,$DL$205^A31,IF(A31='Données projet'!$A$166,'Données projet'!$B$166,DO30+DN31-DW30)))</f>
        <v>102.60000000000002</v>
      </c>
      <c r="DP31" s="18">
        <f>DO31*VLOOKUP('Données projet'!$B$14,Paramètres!$A$1:$I$89,3,0)*VLOOKUP('Données projet'!$B$14,Paramètres!$A$1:$I$89,5,0)</f>
        <v>99.234720000000024</v>
      </c>
      <c r="DQ31" s="14">
        <f t="shared" si="43"/>
        <v>26.779598706219044</v>
      </c>
      <c r="DR31" s="22">
        <f t="shared" si="16"/>
        <v>219.47493841333153</v>
      </c>
      <c r="DS31" s="60">
        <f t="shared" si="17"/>
        <v>510.36382730222039</v>
      </c>
      <c r="DT31" s="60">
        <f ca="1">AVERAGE(OFFSET($DS$3,0,0,'Données projet'!$E$14+1,1))-AVERAGE(OFFSET($H$3,0,0,'Données projet'!$E$14+1,1))</f>
        <v>562.69380557620775</v>
      </c>
      <c r="DU31" s="60">
        <f t="shared" si="44"/>
        <v>294.45557293177131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>
        <f>EXP(-LN(2)/35)*EA30+(1-EXP(-LN(2)/35))/(LN(2)/35)*DW31*DX31*VLOOKUP('Données projet'!$B$14,Paramètres!$A$1:$I$89,3,0)*0.475*44/12</f>
        <v>0</v>
      </c>
      <c r="EB31" s="23">
        <f>EXP(-LN(2)/25)*EB30+(1-EXP(-LN(2)/25))/(LN(2)/25)*Calculateur!DW31*Calculateur!DY31*VLOOKUP('Données projet'!$B$14,Paramètres!$A$1:$I$89,3,0)*0.475*44/12</f>
        <v>0</v>
      </c>
      <c r="EC31" s="23">
        <f>EXP(-LN(2)/2)*EC30+(1-EXP(-LN(2)/2))/(LN(2)/2)*DW31*DZ31*VLOOKUP('Données projet'!$B$14,Paramètres!$A$1:$I$89,3,0)*0.475*44/12</f>
        <v>0</v>
      </c>
      <c r="ED31" s="24">
        <f t="shared" si="18"/>
        <v>0</v>
      </c>
      <c r="EE31" s="77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11.5</v>
      </c>
      <c r="EJ31" s="13">
        <f>IF('Données projet'!$A$192&gt;35,EJ30+EI31-ER30,IF(A31&lt;'Données projet'!$A$192,$EG$205^A31,IF(A31='Données projet'!$A$192,'Données projet'!$B$192,EJ30+EI31-ER30)))</f>
        <v>120.49999999999997</v>
      </c>
      <c r="EK31" s="18">
        <f>EJ31*VLOOKUP('Données projet'!$B$15,Paramètres!$A$1:$I$89,3,0)*VLOOKUP('Données projet'!$B$15,Paramètres!$A$1:$I$89,5,0)</f>
        <v>93.989999999999981</v>
      </c>
      <c r="EL31" s="14">
        <f t="shared" si="45"/>
        <v>25.525074036970079</v>
      </c>
      <c r="EM31" s="22">
        <f t="shared" si="19"/>
        <v>208.15542061438953</v>
      </c>
      <c r="EN31" s="60">
        <f t="shared" si="20"/>
        <v>499.04430950327838</v>
      </c>
      <c r="EO31" s="60">
        <f ca="1">AVERAGE(OFFSET($EN$3,0,0,'Données projet'!$E$15+1,1))-AVERAGE(OFFSET($H$3,0,0,'Données projet'!$E$15+1,1))</f>
        <v>292.57482726862594</v>
      </c>
      <c r="EP31" s="60">
        <f t="shared" si="46"/>
        <v>283.48738729114024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>
        <f>EXP(-LN(2)/35)*EV30+(1-EXP(-LN(2)/35))/(LN(2)/35)*ER31*ES31*VLOOKUP('Données projet'!$B$15,Paramètres!$A$1:$I$89,3,0)*0.475*44/12</f>
        <v>0</v>
      </c>
      <c r="EW31" s="23">
        <f>EXP(-LN(2)/25)*EW30+(1-EXP(-LN(2)/25))/(LN(2)/25)*Calculateur!ER31*Calculateur!ET31*VLOOKUP('Données projet'!$B$15,Paramètres!$A$1:$I$89,3,0)*0.475*44/12</f>
        <v>0</v>
      </c>
      <c r="EX31" s="23">
        <f>EXP(-LN(2)/2)*EX30+(1-EXP(-LN(2)/2))/(LN(2)/2)*ER31*EU31*VLOOKUP('Données projet'!$B$15,Paramètres!$A$1:$I$89,3,0)*0.475*44/12</f>
        <v>0</v>
      </c>
      <c r="EY31" s="24">
        <f t="shared" si="21"/>
        <v>0</v>
      </c>
      <c r="EZ31" s="77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0" t="e">
        <f t="shared" si="23"/>
        <v>#N/A</v>
      </c>
      <c r="FJ31" s="60" t="e">
        <f ca="1">AVERAGE(OFFSET($FI$3,0,0,'Données projet'!$E$16+1,1))-AVERAGE(OFFSET($H$3,0,0,'Données projet'!$E$16+1,1))</f>
        <v>#N/A</v>
      </c>
      <c r="FK31" s="60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77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0" t="e">
        <f t="shared" si="26"/>
        <v>#N/A</v>
      </c>
      <c r="GE31" s="60" t="e">
        <f ca="1">AVERAGE(OFFSET($GD$3,0,0,'Données projet'!$E$17+1,1))-AVERAGE(OFFSET($H$3,0,0,'Données projet'!$E$17+1,1))</f>
        <v>#N/A</v>
      </c>
      <c r="GF31" s="60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77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0" t="e">
        <f t="shared" si="29"/>
        <v>#N/A</v>
      </c>
      <c r="GZ31" s="60" t="e">
        <f ca="1">AVERAGE(OFFSET($GY$3,0,0,'Données projet'!$E$18+1,1))-AVERAGE(OFFSET($H$3,0,0,'Données projet'!$E$18+1,1))</f>
        <v>#N/A</v>
      </c>
      <c r="HA31" s="60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25">
      <c r="A32" s="11">
        <f t="shared" si="31"/>
        <v>29</v>
      </c>
      <c r="B32" s="74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2">
        <f t="shared" si="32"/>
        <v>0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0</v>
      </c>
      <c r="H32" s="67">
        <f t="shared" si="1"/>
        <v>256.66666666666669</v>
      </c>
      <c r="I32" s="7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7.4358974358974335</v>
      </c>
      <c r="N32" s="14">
        <f>IF('Données projet'!$A$36&gt;35,N31+M32-V31,IF(A32&lt;'Données projet'!$A$36,$K$205^A32,IF(A32='Données projet'!$A$36,'Données projet'!$B$36,N31+M32-V31)))</f>
        <v>131.02564102564102</v>
      </c>
      <c r="O32" s="14">
        <f>N32*VLOOKUP('Données projet'!$B$9,Paramètres!$A$1:$I$89,3,0)*VLOOKUP('Données projet'!$B$9,Paramètres!$A$1:$I$89,5,0)</f>
        <v>124.68400000000001</v>
      </c>
      <c r="P32" s="14">
        <f t="shared" si="33"/>
        <v>32.765018897972467</v>
      </c>
      <c r="Q32" s="22">
        <f t="shared" si="2"/>
        <v>274.22370791396878</v>
      </c>
      <c r="R32" s="60">
        <f t="shared" si="0"/>
        <v>566.33481902507992</v>
      </c>
      <c r="S32" s="60">
        <f ca="1">AVERAGE(OFFSET($R$3,0,0,'Données projet'!$E$9+1,1))-AVERAGE(OFFSET($H$3,0,0,'Données projet'!$E$9+1,1))</f>
        <v>403.49781966317852</v>
      </c>
      <c r="T32" s="60">
        <f t="shared" si="34"/>
        <v>326.06674572505409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0</v>
      </c>
      <c r="AA32" s="23">
        <f>EXP(-LN(2)/25)*AA31+(1-EXP(-LN(2)/25))/(LN(2)/25)*Calculateur!V32*Calculateur!X32*VLOOKUP('Données projet'!$B$9,Paramètres!$A$1:$I$89,3,0)*0.475*44/12</f>
        <v>0</v>
      </c>
      <c r="AB32" s="23">
        <f>EXP(-LN(2)/2)*AB31+(1-EXP(-LN(2)/2))/(LN(2)/2)*V32*Y32*VLOOKUP('Données projet'!$B$9,Paramètres!$A$1:$I$89,3,0)*0.475*44/12</f>
        <v>0</v>
      </c>
      <c r="AC32" s="24">
        <f t="shared" si="3"/>
        <v>0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9.8000000000000007</v>
      </c>
      <c r="AI32" s="14">
        <f>IF('Données projet'!$A$62&gt;35,AI31+AH32-AQ31,IF(A32&lt;'Données projet'!$A$62,$AF$205^A32,IF(A32='Données projet'!$A$62,'Données projet'!$B$62,AI31+AH32-AQ31)))</f>
        <v>104.19999999999999</v>
      </c>
      <c r="AJ32" s="14">
        <f>AI32*VLOOKUP('Données projet'!$B$10,Paramètres!$A$1:$I$89,3,0)*VLOOKUP('Données projet'!$B$10,Paramètres!$A$1:$I$89,5,0)</f>
        <v>91.029119999999992</v>
      </c>
      <c r="AK32" s="14">
        <f t="shared" si="35"/>
        <v>24.813259479575809</v>
      </c>
      <c r="AL32" s="22">
        <f t="shared" si="4"/>
        <v>201.75881092692782</v>
      </c>
      <c r="AM32" s="60">
        <f t="shared" si="5"/>
        <v>493.86992203803896</v>
      </c>
      <c r="AN32" s="60">
        <f ca="1">AVERAGE(OFFSET($AM$3,0,0,'Données projet'!$E$10+1,1))-AVERAGE(OFFSET($H$3,0,0,'Données projet'!$E$10+1,1))</f>
        <v>274.66236526869056</v>
      </c>
      <c r="AO32" s="60">
        <f t="shared" si="36"/>
        <v>256.90876395053073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>
        <f>EXP(-LN(2)/35)*AU31+(1-EXP(-LN(2)/35))/(LN(2)/35)*AQ32*AR32*VLOOKUP('Données projet'!$B$10,Paramètres!$A$1:$I$89,3,0)*0.475*44/12</f>
        <v>0</v>
      </c>
      <c r="AV32" s="23">
        <f>EXP(-LN(2)/25)*AV31+(1-EXP(-LN(2)/25))/(LN(2)/25)*Calculateur!AQ32*Calculateur!AS32*VLOOKUP('Données projet'!$B$10,Paramètres!$A$1:$I$89,3,0)*0.475*44/12</f>
        <v>0</v>
      </c>
      <c r="AW32" s="23">
        <f>EXP(-LN(2)/2)*AW31+(1-EXP(-LN(2)/2))/(LN(2)/2)*AQ32*AT32*VLOOKUP('Données projet'!$B$10,Paramètres!$A$1:$I$89,3,0)*0.475*44/12</f>
        <v>0</v>
      </c>
      <c r="AX32" s="23">
        <f t="shared" si="6"/>
        <v>0</v>
      </c>
      <c r="AY32" s="76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9.1999999999999993</v>
      </c>
      <c r="BD32" s="13">
        <f>IF('Données projet'!$A$88&gt;35,BD31+BC32-BL31,IF(A32&lt;'Données projet'!$A$88,$BA$205^A32,IF(A32='Données projet'!$A$88,'Données projet'!$B$88,BD31+BC32-BL31)))</f>
        <v>111.80000000000003</v>
      </c>
      <c r="BE32" s="14">
        <f>BD32*VLOOKUP('Données projet'!$B$11,Paramètres!$A$1:$I$89,3,0)*VLOOKUP('Données projet'!$B$11,Paramètres!$A$1:$I$89,5,0)</f>
        <v>101.15664000000001</v>
      </c>
      <c r="BF32" s="14">
        <f t="shared" si="37"/>
        <v>27.237366379381644</v>
      </c>
      <c r="BG32" s="22">
        <f t="shared" si="7"/>
        <v>223.61956111075639</v>
      </c>
      <c r="BH32" s="60">
        <f t="shared" si="8"/>
        <v>515.73067222186751</v>
      </c>
      <c r="BI32" s="60">
        <f ca="1">AVERAGE(OFFSET($BH$3,0,0,'Données projet'!$E$11+1,1))-AVERAGE(OFFSET($H$3,0,0,'Données projet'!$E$11+1,1))</f>
        <v>529.25712986118265</v>
      </c>
      <c r="BJ32" s="60">
        <f t="shared" si="38"/>
        <v>278.21741231699929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>
        <f>EXP(-LN(2)/35)*BP31+(1-EXP(-LN(2)/35))/(LN(2)/35)*BL32*BM32*VLOOKUP('Données projet'!$B$11,Paramètres!$A$1:$I$89,3,0)*0.475*44/12</f>
        <v>0</v>
      </c>
      <c r="BQ32" s="23">
        <f>EXP(-LN(2)/25)*BQ31+(1-EXP(-LN(2)/25))/(LN(2)/25)*Calculateur!BL32*Calculateur!BN32*VLOOKUP('Données projet'!$B$11,Paramètres!$A$1:$I$89,3,0)*0.475*44/12</f>
        <v>0</v>
      </c>
      <c r="BR32" s="23">
        <f>EXP(-LN(2)/2)*BR31+(1-EXP(-LN(2)/2))/(LN(2)/2)*BL32*BO32*VLOOKUP('Données projet'!$B$11,Paramètres!$A$1:$I$89,3,0)*0.475*44/12</f>
        <v>0</v>
      </c>
      <c r="BS32" s="24">
        <f t="shared" si="9"/>
        <v>0</v>
      </c>
      <c r="BT32" s="77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9.1999999999999993</v>
      </c>
      <c r="BY32" s="13">
        <f>IF('Données projet'!$A$114&gt;35,BY31+BX32-CG31,IF(A32&lt;'Données projet'!$A$114,$BV$205^A32,IF(A32='Données projet'!$A$114,'Données projet'!$B$114,BY31+BX32-CG31)))</f>
        <v>111.80000000000003</v>
      </c>
      <c r="BZ32" s="14">
        <f>BY32*VLOOKUP('Données projet'!$B$12,Paramètres!$A$1:$I$89,3,0)*VLOOKUP('Données projet'!$B$12,Paramètres!$A$1:$I$89,5,0)</f>
        <v>113.36520000000003</v>
      </c>
      <c r="CA32" s="14">
        <f t="shared" si="39"/>
        <v>30.122456058687614</v>
      </c>
      <c r="CB32" s="22">
        <f t="shared" si="10"/>
        <v>249.9076676355476</v>
      </c>
      <c r="CC32" s="60">
        <f t="shared" si="11"/>
        <v>542.01877874665877</v>
      </c>
      <c r="CD32" s="60">
        <f ca="1">AVERAGE(OFFSET($CC$3,0,0,'Données projet'!$E$12+1,1))-AVERAGE(OFFSET($H$3,0,0,'Données projet'!$E$12+1,1))</f>
        <v>587.74247372331615</v>
      </c>
      <c r="CE32" s="60">
        <f t="shared" si="40"/>
        <v>306.61893266146666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>
        <f>EXP(-LN(2)/35)*CK31+(1-EXP(-LN(2)/35))/(LN(2)/35)*CG32*CH32*VLOOKUP('Données projet'!$B$12,Paramètres!$A$1:$I$89,3,0)*0.475*44/12</f>
        <v>0</v>
      </c>
      <c r="CL32" s="23">
        <f>EXP(-LN(2)/25)*CL31+(1-EXP(-LN(2)/25))/(LN(2)/25)*Calculateur!CG32*Calculateur!CI32*VLOOKUP('Données projet'!$B$12,Paramètres!$A$1:$I$89,3,0)*0.475*44/12</f>
        <v>0</v>
      </c>
      <c r="CM32" s="23">
        <f>EXP(-LN(2)/2)*CM31+(1-EXP(-LN(2)/2))/(LN(2)/2)*CG32*CJ32*VLOOKUP('Données projet'!$B$12,Paramètres!$A$1:$I$89,3,0)*0.475*44/12</f>
        <v>0</v>
      </c>
      <c r="CN32" s="24">
        <f t="shared" si="12"/>
        <v>0</v>
      </c>
      <c r="CO32" s="77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9.1999999999999993</v>
      </c>
      <c r="CT32" s="13">
        <f>IF('Données projet'!$A$140&gt;35,CT31+CS32-DB31,IF(A32&lt;'Données projet'!$A$140,$CQ$205^A32,IF(A32='Données projet'!$A$140,'Données projet'!$B$140,CT31+CS32-DB31)))</f>
        <v>111.80000000000003</v>
      </c>
      <c r="CU32" s="18">
        <f>CT32*VLOOKUP('Données projet'!$B$13,Paramètres!$A$1:$I$89,3,0)*VLOOKUP('Données projet'!$B$13,Paramètres!$A$1:$I$89,5,0)</f>
        <v>120.34152000000002</v>
      </c>
      <c r="CV32" s="14">
        <f t="shared" si="41"/>
        <v>31.754640046026051</v>
      </c>
      <c r="CW32" s="22">
        <f t="shared" si="13"/>
        <v>264.90081208016204</v>
      </c>
      <c r="CX32" s="60">
        <f t="shared" si="14"/>
        <v>557.01192319127313</v>
      </c>
      <c r="CY32" s="60">
        <f ca="1">AVERAGE(OFFSET($CX$3,0,0,'Données projet'!$E$13+1,1))-AVERAGE(OFFSET($H$3,0,0,'Données projet'!$E$13+1,1))</f>
        <v>621.10465023992288</v>
      </c>
      <c r="CZ32" s="60">
        <f t="shared" si="42"/>
        <v>322.81767004794284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>
        <f>EXP(-LN(2)/35)*DF31+(1-EXP(-LN(2)/35))/(LN(2)/35)*DB32*DC32*VLOOKUP('Données projet'!$B$13,Paramètres!$A$1:$I$89,3,0)*0.475*44/12</f>
        <v>0</v>
      </c>
      <c r="DG32" s="23">
        <f>EXP(-LN(2)/25)*DG31+(1-EXP(-LN(2)/25))/(LN(2)/25)*Calculateur!DB32*Calculateur!DD32*VLOOKUP('Données projet'!$B$13,Paramètres!$A$1:$I$89,3,0)*0.475*44/12</f>
        <v>0</v>
      </c>
      <c r="DH32" s="23">
        <f>EXP(-LN(2)/2)*DH31+(1-EXP(-LN(2)/2))/(LN(2)/2)*DB32*DE32*VLOOKUP('Données projet'!$B$13,Paramètres!$A$1:$I$89,3,0)*0.475*44/12</f>
        <v>0</v>
      </c>
      <c r="DI32" s="24">
        <f t="shared" si="15"/>
        <v>0</v>
      </c>
      <c r="DJ32" s="77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9.1999999999999993</v>
      </c>
      <c r="DO32" s="13">
        <f>IF('Données projet'!$A$166&gt;35,DO31+DN32-DW31,IF(A32&lt;'Données projet'!$A$166,$DL$205^A32,IF(A32='Données projet'!$A$166,'Données projet'!$B$166,DO31+DN32-DW31)))</f>
        <v>111.80000000000003</v>
      </c>
      <c r="DP32" s="18">
        <f>DO32*VLOOKUP('Données projet'!$B$14,Paramètres!$A$1:$I$89,3,0)*VLOOKUP('Données projet'!$B$14,Paramètres!$A$1:$I$89,5,0)</f>
        <v>108.13296000000003</v>
      </c>
      <c r="DQ32" s="14">
        <f t="shared" si="43"/>
        <v>28.890658079177882</v>
      </c>
      <c r="DR32" s="22">
        <f t="shared" si="16"/>
        <v>238.64946815456821</v>
      </c>
      <c r="DS32" s="60">
        <f t="shared" si="17"/>
        <v>530.76057926567933</v>
      </c>
      <c r="DT32" s="60">
        <f ca="1">AVERAGE(OFFSET($DS$3,0,0,'Données projet'!$E$14+1,1))-AVERAGE(OFFSET($H$3,0,0,'Données projet'!$E$14+1,1))</f>
        <v>562.69380557620775</v>
      </c>
      <c r="DU32" s="60">
        <f t="shared" si="44"/>
        <v>294.45557293177131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>
        <f>EXP(-LN(2)/35)*EA31+(1-EXP(-LN(2)/35))/(LN(2)/35)*DW32*DX32*VLOOKUP('Données projet'!$B$14,Paramètres!$A$1:$I$89,3,0)*0.475*44/12</f>
        <v>0</v>
      </c>
      <c r="EB32" s="23">
        <f>EXP(-LN(2)/25)*EB31+(1-EXP(-LN(2)/25))/(LN(2)/25)*Calculateur!DW32*Calculateur!DY32*VLOOKUP('Données projet'!$B$14,Paramètres!$A$1:$I$89,3,0)*0.475*44/12</f>
        <v>0</v>
      </c>
      <c r="EC32" s="23">
        <f>EXP(-LN(2)/2)*EC31+(1-EXP(-LN(2)/2))/(LN(2)/2)*DW32*DZ32*VLOOKUP('Données projet'!$B$14,Paramètres!$A$1:$I$89,3,0)*0.475*44/12</f>
        <v>0</v>
      </c>
      <c r="ED32" s="24">
        <f t="shared" si="18"/>
        <v>0</v>
      </c>
      <c r="EE32" s="77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11.5</v>
      </c>
      <c r="EJ32" s="13">
        <f>IF('Données projet'!$A$192&gt;35,EJ31+EI32-ER31,IF(A32&lt;'Données projet'!$A$192,$EG$205^A32,IF(A32='Données projet'!$A$192,'Données projet'!$B$192,EJ31+EI32-ER31)))</f>
        <v>131.99999999999997</v>
      </c>
      <c r="EK32" s="18">
        <f>EJ32*VLOOKUP('Données projet'!$B$15,Paramètres!$A$1:$I$89,3,0)*VLOOKUP('Données projet'!$B$15,Paramètres!$A$1:$I$89,5,0)</f>
        <v>102.95999999999998</v>
      </c>
      <c r="EL32" s="14">
        <f t="shared" si="45"/>
        <v>27.665975080374633</v>
      </c>
      <c r="EM32" s="22">
        <f t="shared" si="19"/>
        <v>227.50690659831912</v>
      </c>
      <c r="EN32" s="60">
        <f t="shared" si="20"/>
        <v>519.61801770943021</v>
      </c>
      <c r="EO32" s="60">
        <f ca="1">AVERAGE(OFFSET($EN$3,0,0,'Données projet'!$E$15+1,1))-AVERAGE(OFFSET($H$3,0,0,'Données projet'!$E$15+1,1))</f>
        <v>292.57482726862594</v>
      </c>
      <c r="EP32" s="60">
        <f t="shared" si="46"/>
        <v>283.48738729114024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>
        <f>EXP(-LN(2)/35)*EV31+(1-EXP(-LN(2)/35))/(LN(2)/35)*ER32*ES32*VLOOKUP('Données projet'!$B$15,Paramètres!$A$1:$I$89,3,0)*0.475*44/12</f>
        <v>0</v>
      </c>
      <c r="EW32" s="23">
        <f>EXP(-LN(2)/25)*EW31+(1-EXP(-LN(2)/25))/(LN(2)/25)*Calculateur!ER32*Calculateur!ET32*VLOOKUP('Données projet'!$B$15,Paramètres!$A$1:$I$89,3,0)*0.475*44/12</f>
        <v>0</v>
      </c>
      <c r="EX32" s="23">
        <f>EXP(-LN(2)/2)*EX31+(1-EXP(-LN(2)/2))/(LN(2)/2)*ER32*EU32*VLOOKUP('Données projet'!$B$15,Paramètres!$A$1:$I$89,3,0)*0.475*44/12</f>
        <v>0</v>
      </c>
      <c r="EY32" s="24">
        <f t="shared" si="21"/>
        <v>0</v>
      </c>
      <c r="EZ32" s="77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0" t="e">
        <f t="shared" si="23"/>
        <v>#N/A</v>
      </c>
      <c r="FJ32" s="60" t="e">
        <f ca="1">AVERAGE(OFFSET($FI$3,0,0,'Données projet'!$E$16+1,1))-AVERAGE(OFFSET($H$3,0,0,'Données projet'!$E$16+1,1))</f>
        <v>#N/A</v>
      </c>
      <c r="FK32" s="60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77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0" t="e">
        <f t="shared" si="26"/>
        <v>#N/A</v>
      </c>
      <c r="GE32" s="60" t="e">
        <f ca="1">AVERAGE(OFFSET($GD$3,0,0,'Données projet'!$E$17+1,1))-AVERAGE(OFFSET($H$3,0,0,'Données projet'!$E$17+1,1))</f>
        <v>#N/A</v>
      </c>
      <c r="GF32" s="60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77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0" t="e">
        <f t="shared" si="29"/>
        <v>#N/A</v>
      </c>
      <c r="GZ32" s="60" t="e">
        <f ca="1">AVERAGE(OFFSET($GY$3,0,0,'Données projet'!$E$18+1,1))-AVERAGE(OFFSET($H$3,0,0,'Données projet'!$E$18+1,1))</f>
        <v>#N/A</v>
      </c>
      <c r="HA32" s="60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25">
      <c r="A33" s="11">
        <f t="shared" si="31"/>
        <v>30</v>
      </c>
      <c r="B33" s="74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2">
        <f t="shared" si="32"/>
        <v>0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0</v>
      </c>
      <c r="H33" s="67">
        <f t="shared" si="1"/>
        <v>256.66666666666669</v>
      </c>
      <c r="I33" s="7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>
        <f>VLOOKUP(A33,'Données projet'!$A$35:$I$55,2,0)</f>
        <v>138.46153846153845</v>
      </c>
      <c r="L33" s="13">
        <f>VLOOKUP(A33,'Données projet'!$A$35:$I$55,9,0)</f>
        <v>7.4358974358974335</v>
      </c>
      <c r="M33" s="13">
        <f t="array" ref="M33">INDEX(L:L,MIN(IF(ISNUMBER(L33:L229),ROW(L33:L229),"")))</f>
        <v>7.4358974358974335</v>
      </c>
      <c r="N33" s="14">
        <f>IF('Données projet'!$A$36&gt;35,N32+M33-V32,IF(A33&lt;'Données projet'!$A$36,$K$205^A33,IF(A33='Données projet'!$A$36,'Données projet'!$B$36,N32+M33-V32)))</f>
        <v>138.46153846153845</v>
      </c>
      <c r="O33" s="14">
        <f>N33*VLOOKUP('Données projet'!$B$9,Paramètres!$A$1:$I$89,3,0)*VLOOKUP('Données projet'!$B$9,Paramètres!$A$1:$I$89,5,0)</f>
        <v>131.76</v>
      </c>
      <c r="P33" s="14">
        <f t="shared" si="33"/>
        <v>34.402724818212867</v>
      </c>
      <c r="Q33" s="22">
        <f t="shared" si="2"/>
        <v>289.4000790583874</v>
      </c>
      <c r="R33" s="60">
        <f t="shared" si="0"/>
        <v>582.73341239172078</v>
      </c>
      <c r="S33" s="60">
        <f ca="1">AVERAGE(OFFSET($R$3,0,0,'Données projet'!$E$9+1,1))-AVERAGE(OFFSET($H$3,0,0,'Données projet'!$E$9+1,1))</f>
        <v>403.49781966317852</v>
      </c>
      <c r="T33" s="60">
        <f t="shared" si="34"/>
        <v>326.06674572505409</v>
      </c>
      <c r="U33" s="16">
        <f>IF(ISNA(VLOOKUP(A33,'Données projet'!$A$35:$I$55,3,0)),0,VLOOKUP(A33,'Données projet'!$A$35:$I$55,3,0))</f>
        <v>2</v>
      </c>
      <c r="V33" s="16">
        <f>IF(ISNA(VLOOKUP(A33,'Données projet'!$A$35:$I$55,4,0)),0,VLOOKUP(A33,'Données projet'!$A$35:$I$55,4,0))</f>
        <v>30.769230769230766</v>
      </c>
      <c r="W33" s="17">
        <f>IF(ISNA(VLOOKUP(A33,'Données projet'!$A$35:$I$55,5,0)),0%,VLOOKUP(A33,'Données projet'!$A$35:$I$55,5,0)*VLOOKUP('Données projet'!$B$9,Paramètres!$A$1:$I$89,7,0))</f>
        <v>0</v>
      </c>
      <c r="X33" s="17">
        <f>IF(ISNA(VLOOKUP(A33,'Données projet'!$A$35:$I$55,6,0)),0%,VLOOKUP(A33,'Données projet'!$A$35:$I$55,6,0)*VLOOKUP('Données projet'!$B$9,Paramètres!$A$1:$I$89,7,0))</f>
        <v>0</v>
      </c>
      <c r="Y33" s="17">
        <f>IF(ISNA(VLOOKUP(A33,'Données projet'!$A$35:$I$55,7,0)),0%,VLOOKUP(A33,'Données projet'!$A$35:$I$55,7,0))</f>
        <v>0</v>
      </c>
      <c r="Z33" s="23">
        <f>EXP(-LN(2)/35)*Z32+(1-EXP(-LN(2)/35))/(LN(2)/35)*V33*W33*VLOOKUP('Données projet'!$B$9,Paramètres!$A$1:$I$89,3,0)*0.475*44/12</f>
        <v>0</v>
      </c>
      <c r="AA33" s="23">
        <f>EXP(-LN(2)/25)*AA32+(1-EXP(-LN(2)/25))/(LN(2)/25)*Calculateur!V33*Calculateur!X33*VLOOKUP('Données projet'!$B$9,Paramètres!$A$1:$I$89,3,0)*0.475*44/12</f>
        <v>0</v>
      </c>
      <c r="AB33" s="23">
        <f>EXP(-LN(2)/2)*AB32+(1-EXP(-LN(2)/2))/(LN(2)/2)*V33*Y33*VLOOKUP('Données projet'!$B$9,Paramètres!$A$1:$I$89,3,0)*0.475*44/12</f>
        <v>0</v>
      </c>
      <c r="AC33" s="24">
        <f t="shared" si="3"/>
        <v>0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>
        <f>VLOOKUP(A33,'Données projet'!$A$61:$I$81,2,0)</f>
        <v>114</v>
      </c>
      <c r="AG33" s="13">
        <f>VLOOKUP(A33,'Données projet'!$A$61:$I$81,9,0)</f>
        <v>9.8000000000000007</v>
      </c>
      <c r="AH33" s="13">
        <f t="array" ref="AH33">INDEX(AG:AG,MIN(IF(ISNUMBER(AG33:AG229),ROW(AG33:AG229),"")))</f>
        <v>9.8000000000000007</v>
      </c>
      <c r="AI33" s="14">
        <f>IF('Données projet'!$A$62&gt;35,AI32+AH33-AQ32,IF(A33&lt;'Données projet'!$A$62,$AF$205^A33,IF(A33='Données projet'!$A$62,'Données projet'!$B$62,AI32+AH33-AQ32)))</f>
        <v>113.99999999999999</v>
      </c>
      <c r="AJ33" s="14">
        <f>AI33*VLOOKUP('Données projet'!$B$10,Paramètres!$A$1:$I$89,3,0)*VLOOKUP('Données projet'!$B$10,Paramètres!$A$1:$I$89,5,0)</f>
        <v>99.590400000000002</v>
      </c>
      <c r="AK33" s="14">
        <f t="shared" si="35"/>
        <v>26.864392698869324</v>
      </c>
      <c r="AL33" s="22">
        <f t="shared" si="4"/>
        <v>220.24209728386407</v>
      </c>
      <c r="AM33" s="60">
        <f t="shared" si="5"/>
        <v>513.57543061719741</v>
      </c>
      <c r="AN33" s="60">
        <f ca="1">AVERAGE(OFFSET($AM$3,0,0,'Données projet'!$E$10+1,1))-AVERAGE(OFFSET($H$3,0,0,'Données projet'!$E$10+1,1))</f>
        <v>274.66236526869056</v>
      </c>
      <c r="AO33" s="60">
        <f t="shared" si="36"/>
        <v>256.90876395053073</v>
      </c>
      <c r="AP33" s="16">
        <f>IF(ISNA(VLOOKUP(A33,'Données projet'!$A$61:$I$81,3,0)),0,VLOOKUP(A33,'Données projet'!$A$61:$I$81,3,0))</f>
        <v>0</v>
      </c>
      <c r="AQ33" s="16">
        <f>IF(ISNA(VLOOKUP(A33,'Données projet'!$A$61:$I$81,4,0)),0,VLOOKUP(A33,'Données projet'!$A$61:$I$81,4,0))</f>
        <v>0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</v>
      </c>
      <c r="AU33" s="23">
        <f>EXP(-LN(2)/35)*AU32+(1-EXP(-LN(2)/35))/(LN(2)/35)*AQ33*AR33*VLOOKUP('Données projet'!$B$10,Paramètres!$A$1:$I$89,3,0)*0.475*44/12</f>
        <v>0</v>
      </c>
      <c r="AV33" s="23">
        <f>EXP(-LN(2)/25)*AV32+(1-EXP(-LN(2)/25))/(LN(2)/25)*Calculateur!AQ33*Calculateur!AS33*VLOOKUP('Données projet'!$B$10,Paramètres!$A$1:$I$89,3,0)*0.475*44/12</f>
        <v>0</v>
      </c>
      <c r="AW33" s="23">
        <f>EXP(-LN(2)/2)*AW32+(1-EXP(-LN(2)/2))/(LN(2)/2)*AQ33*AT33*VLOOKUP('Données projet'!$B$10,Paramètres!$A$1:$I$89,3,0)*0.475*44/12</f>
        <v>0</v>
      </c>
      <c r="AX33" s="23">
        <f t="shared" si="6"/>
        <v>0</v>
      </c>
      <c r="AY33" s="76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>
        <f>VLOOKUP(A33,'Données projet'!$A$87:$I$107,2,0)</f>
        <v>121</v>
      </c>
      <c r="BB33" s="13">
        <f>VLOOKUP(A33,'Données projet'!$A$87:$I$107,9,0)</f>
        <v>9.1999999999999993</v>
      </c>
      <c r="BC33" s="13">
        <f t="array" ref="BC33">INDEX(BB:BB,MIN(IF(ISNUMBER(BB33:BB229),ROW(BB33:BB229),"")))</f>
        <v>9.1999999999999993</v>
      </c>
      <c r="BD33" s="13">
        <f>IF('Données projet'!$A$88&gt;35,BD32+BC33-BL32,IF(A33&lt;'Données projet'!$A$88,$BA$205^A33,IF(A33='Données projet'!$A$88,'Données projet'!$B$88,BD32+BC33-BL32)))</f>
        <v>121.00000000000003</v>
      </c>
      <c r="BE33" s="14">
        <f>BD33*VLOOKUP('Données projet'!$B$11,Paramètres!$A$1:$I$89,3,0)*VLOOKUP('Données projet'!$B$11,Paramètres!$A$1:$I$89,5,0)</f>
        <v>109.48080000000002</v>
      </c>
      <c r="BF33" s="14">
        <f t="shared" si="37"/>
        <v>29.208623339903898</v>
      </c>
      <c r="BG33" s="22">
        <f t="shared" si="7"/>
        <v>241.55074565033269</v>
      </c>
      <c r="BH33" s="60">
        <f t="shared" si="8"/>
        <v>534.88407898366597</v>
      </c>
      <c r="BI33" s="60">
        <f ca="1">AVERAGE(OFFSET($BH$3,0,0,'Données projet'!$E$11+1,1))-AVERAGE(OFFSET($H$3,0,0,'Données projet'!$E$11+1,1))</f>
        <v>529.25712986118265</v>
      </c>
      <c r="BJ33" s="60">
        <f t="shared" si="38"/>
        <v>278.21741231699929</v>
      </c>
      <c r="BK33" s="16">
        <f>IF(ISNA(VLOOKUP(A33,'Données projet'!$A$87:$I$107,3,0)),0,VLOOKUP(A33,'Données projet'!$A$87:$I$107,3,0))</f>
        <v>0</v>
      </c>
      <c r="BL33" s="16">
        <f>IF(ISNA(VLOOKUP(A33,'Données projet'!$A$87:$I$107,4,0)),0,VLOOKUP(A33,'Données projet'!$A$87:$I$107,4,0))</f>
        <v>0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>
        <f>EXP(-LN(2)/35)*BP32+(1-EXP(-LN(2)/35))/(LN(2)/35)*BL33*BM33*VLOOKUP('Données projet'!$B$11,Paramètres!$A$1:$I$89,3,0)*0.475*44/12</f>
        <v>0</v>
      </c>
      <c r="BQ33" s="23">
        <f>EXP(-LN(2)/25)*BQ32+(1-EXP(-LN(2)/25))/(LN(2)/25)*Calculateur!BL33*Calculateur!BN33*VLOOKUP('Données projet'!$B$11,Paramètres!$A$1:$I$89,3,0)*0.475*44/12</f>
        <v>0</v>
      </c>
      <c r="BR33" s="23">
        <f>EXP(-LN(2)/2)*BR32+(1-EXP(-LN(2)/2))/(LN(2)/2)*BL33*BO33*VLOOKUP('Données projet'!$B$11,Paramètres!$A$1:$I$89,3,0)*0.475*44/12</f>
        <v>0</v>
      </c>
      <c r="BS33" s="24">
        <f t="shared" si="9"/>
        <v>0</v>
      </c>
      <c r="BT33" s="77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>
        <f>VLOOKUP(A33,'Données projet'!$A$113:$I$133,2,0)</f>
        <v>121</v>
      </c>
      <c r="BW33" s="13">
        <f>VLOOKUP(A33,'Données projet'!$A$113:$I$133,9,0)</f>
        <v>9.1999999999999993</v>
      </c>
      <c r="BX33" s="13">
        <f t="array" ref="BX33">INDEX(BW:BW,MIN(IF(ISNUMBER(BW33:BW229),ROW(BW33:BW229),"")))</f>
        <v>9.1999999999999993</v>
      </c>
      <c r="BY33" s="13">
        <f>IF('Données projet'!$A$114&gt;35,BY32+BX33-CG32,IF(A33&lt;'Données projet'!$A$114,$BV$205^A33,IF(A33='Données projet'!$A$114,'Données projet'!$B$114,BY32+BX33-CG32)))</f>
        <v>121.00000000000003</v>
      </c>
      <c r="BZ33" s="14">
        <f>BY33*VLOOKUP('Données projet'!$B$12,Paramètres!$A$1:$I$89,3,0)*VLOOKUP('Données projet'!$B$12,Paramètres!$A$1:$I$89,5,0)</f>
        <v>122.69400000000003</v>
      </c>
      <c r="CA33" s="14">
        <f t="shared" si="39"/>
        <v>32.302516360650685</v>
      </c>
      <c r="CB33" s="22">
        <f t="shared" si="10"/>
        <v>269.95226599480003</v>
      </c>
      <c r="CC33" s="60">
        <f t="shared" si="11"/>
        <v>563.28559932813334</v>
      </c>
      <c r="CD33" s="60">
        <f ca="1">AVERAGE(OFFSET($CC$3,0,0,'Données projet'!$E$12+1,1))-AVERAGE(OFFSET($H$3,0,0,'Données projet'!$E$12+1,1))</f>
        <v>587.74247372331615</v>
      </c>
      <c r="CE33" s="60">
        <f t="shared" si="40"/>
        <v>306.61893266146666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>
        <f>EXP(-LN(2)/35)*CK32+(1-EXP(-LN(2)/35))/(LN(2)/35)*CG33*CH33*VLOOKUP('Données projet'!$B$12,Paramètres!$A$1:$I$89,3,0)*0.475*44/12</f>
        <v>0</v>
      </c>
      <c r="CL33" s="23">
        <f>EXP(-LN(2)/25)*CL32+(1-EXP(-LN(2)/25))/(LN(2)/25)*Calculateur!CG33*Calculateur!CI33*VLOOKUP('Données projet'!$B$12,Paramètres!$A$1:$I$89,3,0)*0.475*44/12</f>
        <v>0</v>
      </c>
      <c r="CM33" s="23">
        <f>EXP(-LN(2)/2)*CM32+(1-EXP(-LN(2)/2))/(LN(2)/2)*CG33*CJ33*VLOOKUP('Données projet'!$B$12,Paramètres!$A$1:$I$89,3,0)*0.475*44/12</f>
        <v>0</v>
      </c>
      <c r="CN33" s="24">
        <f t="shared" si="12"/>
        <v>0</v>
      </c>
      <c r="CO33" s="77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>
        <f>VLOOKUP(A33,'Données projet'!$A$139:$I$159,2,0)</f>
        <v>121</v>
      </c>
      <c r="CR33" s="13">
        <f>VLOOKUP(A33,'Données projet'!$A$139:$I$159,9,0)</f>
        <v>9.1999999999999993</v>
      </c>
      <c r="CS33" s="13">
        <f t="array" ref="CS33">INDEX(CR:CR,MIN(IF(ISNUMBER(CR33:CR229),ROW(CR33:CR229),"")))</f>
        <v>9.1999999999999993</v>
      </c>
      <c r="CT33" s="13">
        <f>IF('Données projet'!$A$140&gt;35,CT32+CS33-DB32,IF(A33&lt;'Données projet'!$A$140,$CQ$205^A33,IF(A33='Données projet'!$A$140,'Données projet'!$B$140,CT32+CS33-DB32)))</f>
        <v>121.00000000000003</v>
      </c>
      <c r="CU33" s="18">
        <f>CT33*VLOOKUP('Données projet'!$B$13,Paramètres!$A$1:$I$89,3,0)*VLOOKUP('Données projet'!$B$13,Paramètres!$A$1:$I$89,5,0)</f>
        <v>130.24440000000001</v>
      </c>
      <c r="CV33" s="14">
        <f t="shared" si="41"/>
        <v>34.052826821785409</v>
      </c>
      <c r="CW33" s="22">
        <f t="shared" si="13"/>
        <v>286.15100338127621</v>
      </c>
      <c r="CX33" s="60">
        <f t="shared" si="14"/>
        <v>579.48433671460953</v>
      </c>
      <c r="CY33" s="60">
        <f ca="1">AVERAGE(OFFSET($CX$3,0,0,'Données projet'!$E$13+1,1))-AVERAGE(OFFSET($H$3,0,0,'Données projet'!$E$13+1,1))</f>
        <v>621.10465023992288</v>
      </c>
      <c r="CZ33" s="60">
        <f t="shared" si="42"/>
        <v>322.81767004794284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>
        <f>EXP(-LN(2)/35)*DF32+(1-EXP(-LN(2)/35))/(LN(2)/35)*DB33*DC33*VLOOKUP('Données projet'!$B$13,Paramètres!$A$1:$I$89,3,0)*0.475*44/12</f>
        <v>0</v>
      </c>
      <c r="DG33" s="23">
        <f>EXP(-LN(2)/25)*DG32+(1-EXP(-LN(2)/25))/(LN(2)/25)*Calculateur!DB33*Calculateur!DD33*VLOOKUP('Données projet'!$B$13,Paramètres!$A$1:$I$89,3,0)*0.475*44/12</f>
        <v>0</v>
      </c>
      <c r="DH33" s="23">
        <f>EXP(-LN(2)/2)*DH32+(1-EXP(-LN(2)/2))/(LN(2)/2)*DB33*DE33*VLOOKUP('Données projet'!$B$13,Paramètres!$A$1:$I$89,3,0)*0.475*44/12</f>
        <v>0</v>
      </c>
      <c r="DI33" s="24">
        <f t="shared" si="15"/>
        <v>0</v>
      </c>
      <c r="DJ33" s="77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>
        <f>VLOOKUP(A33,'Données projet'!$A$165:$I$185,2,0)</f>
        <v>121</v>
      </c>
      <c r="DM33" s="13">
        <f>VLOOKUP(A33,'Données projet'!$A$165:$I$185,9,0)</f>
        <v>9.1999999999999993</v>
      </c>
      <c r="DN33" s="13">
        <f t="array" ref="DN33">INDEX(DM:DM,MIN(IF(ISNUMBER(DM33:DM229),ROW(DM33:DM229),"")))</f>
        <v>9.1999999999999993</v>
      </c>
      <c r="DO33" s="13">
        <f>IF('Données projet'!$A$166&gt;35,DO32+DN33-DW32,IF(A33&lt;'Données projet'!$A$166,$DL$205^A33,IF(A33='Données projet'!$A$166,'Données projet'!$B$166,DO32+DN33-DW32)))</f>
        <v>121.00000000000003</v>
      </c>
      <c r="DP33" s="18">
        <f>DO33*VLOOKUP('Données projet'!$B$14,Paramètres!$A$1:$I$89,3,0)*VLOOKUP('Données projet'!$B$14,Paramètres!$A$1:$I$89,5,0)</f>
        <v>117.03120000000003</v>
      </c>
      <c r="DQ33" s="14">
        <f t="shared" si="43"/>
        <v>30.981569147428555</v>
      </c>
      <c r="DR33" s="22">
        <f t="shared" si="16"/>
        <v>257.78890626510474</v>
      </c>
      <c r="DS33" s="60">
        <f t="shared" si="17"/>
        <v>551.122239598438</v>
      </c>
      <c r="DT33" s="60">
        <f ca="1">AVERAGE(OFFSET($DS$3,0,0,'Données projet'!$E$14+1,1))-AVERAGE(OFFSET($H$3,0,0,'Données projet'!$E$14+1,1))</f>
        <v>562.69380557620775</v>
      </c>
      <c r="DU33" s="60">
        <f t="shared" si="44"/>
        <v>294.45557293177131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>
        <f>EXP(-LN(2)/35)*EA32+(1-EXP(-LN(2)/35))/(LN(2)/35)*DW33*DX33*VLOOKUP('Données projet'!$B$14,Paramètres!$A$1:$I$89,3,0)*0.475*44/12</f>
        <v>0</v>
      </c>
      <c r="EB33" s="23">
        <f>EXP(-LN(2)/25)*EB32+(1-EXP(-LN(2)/25))/(LN(2)/25)*Calculateur!DW33*Calculateur!DY33*VLOOKUP('Données projet'!$B$14,Paramètres!$A$1:$I$89,3,0)*0.475*44/12</f>
        <v>0</v>
      </c>
      <c r="EC33" s="23">
        <f>EXP(-LN(2)/2)*EC32+(1-EXP(-LN(2)/2))/(LN(2)/2)*DW33*DZ33*VLOOKUP('Données projet'!$B$14,Paramètres!$A$1:$I$89,3,0)*0.475*44/12</f>
        <v>0</v>
      </c>
      <c r="ED33" s="24">
        <f t="shared" si="18"/>
        <v>0</v>
      </c>
      <c r="EE33" s="77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11.5</v>
      </c>
      <c r="EJ33" s="13">
        <f>IF('Données projet'!$A$192&gt;35,EJ32+EI33-ER32,IF(A33&lt;'Données projet'!$A$192,$EG$205^A33,IF(A33='Données projet'!$A$192,'Données projet'!$B$192,EJ32+EI33-ER32)))</f>
        <v>143.49999999999997</v>
      </c>
      <c r="EK33" s="18">
        <f>EJ33*VLOOKUP('Données projet'!$B$15,Paramètres!$A$1:$I$89,3,0)*VLOOKUP('Données projet'!$B$15,Paramètres!$A$1:$I$89,5,0)</f>
        <v>111.92999999999998</v>
      </c>
      <c r="EL33" s="14">
        <f t="shared" si="45"/>
        <v>29.785246291563833</v>
      </c>
      <c r="EM33" s="22">
        <f t="shared" si="19"/>
        <v>246.82072062447358</v>
      </c>
      <c r="EN33" s="60">
        <f t="shared" si="20"/>
        <v>540.15405395780692</v>
      </c>
      <c r="EO33" s="60">
        <f ca="1">AVERAGE(OFFSET($EN$3,0,0,'Données projet'!$E$15+1,1))-AVERAGE(OFFSET($H$3,0,0,'Données projet'!$E$15+1,1))</f>
        <v>292.57482726862594</v>
      </c>
      <c r="EP33" s="60">
        <f t="shared" si="46"/>
        <v>283.48738729114024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>
        <f>EXP(-LN(2)/35)*EV32+(1-EXP(-LN(2)/35))/(LN(2)/35)*ER33*ES33*VLOOKUP('Données projet'!$B$15,Paramètres!$A$1:$I$89,3,0)*0.475*44/12</f>
        <v>0</v>
      </c>
      <c r="EW33" s="23">
        <f>EXP(-LN(2)/25)*EW32+(1-EXP(-LN(2)/25))/(LN(2)/25)*Calculateur!ER33*Calculateur!ET33*VLOOKUP('Données projet'!$B$15,Paramètres!$A$1:$I$89,3,0)*0.475*44/12</f>
        <v>0</v>
      </c>
      <c r="EX33" s="23">
        <f>EXP(-LN(2)/2)*EX32+(1-EXP(-LN(2)/2))/(LN(2)/2)*ER33*EU33*VLOOKUP('Données projet'!$B$15,Paramètres!$A$1:$I$89,3,0)*0.475*44/12</f>
        <v>0</v>
      </c>
      <c r="EY33" s="24">
        <f t="shared" si="21"/>
        <v>0</v>
      </c>
      <c r="EZ33" s="77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0" t="e">
        <f t="shared" si="23"/>
        <v>#N/A</v>
      </c>
      <c r="FJ33" s="60" t="e">
        <f ca="1">AVERAGE(OFFSET($FI$3,0,0,'Données projet'!$E$16+1,1))-AVERAGE(OFFSET($H$3,0,0,'Données projet'!$E$16+1,1))</f>
        <v>#N/A</v>
      </c>
      <c r="FK33" s="60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77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0" t="e">
        <f t="shared" si="26"/>
        <v>#N/A</v>
      </c>
      <c r="GE33" s="60" t="e">
        <f ca="1">AVERAGE(OFFSET($GD$3,0,0,'Données projet'!$E$17+1,1))-AVERAGE(OFFSET($H$3,0,0,'Données projet'!$E$17+1,1))</f>
        <v>#N/A</v>
      </c>
      <c r="GF33" s="60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77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0" t="e">
        <f t="shared" si="29"/>
        <v>#N/A</v>
      </c>
      <c r="GZ33" s="60" t="e">
        <f ca="1">AVERAGE(OFFSET($GY$3,0,0,'Données projet'!$E$18+1,1))-AVERAGE(OFFSET($H$3,0,0,'Données projet'!$E$18+1,1))</f>
        <v>#N/A</v>
      </c>
      <c r="HA33" s="60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25">
      <c r="A34" s="11">
        <f t="shared" si="31"/>
        <v>31</v>
      </c>
      <c r="B34" s="74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2">
        <f t="shared" si="32"/>
        <v>0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0</v>
      </c>
      <c r="H34" s="67">
        <f t="shared" si="1"/>
        <v>256.66666666666669</v>
      </c>
      <c r="I34" s="7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7.1794871794871824</v>
      </c>
      <c r="N34" s="14">
        <f>IF('Données projet'!$A$36&gt;35,N33+M34-V33,IF(A34&lt;'Données projet'!$A$36,$K$205^A34,IF(A34='Données projet'!$A$36,'Données projet'!$B$36,N33+M34-V33)))</f>
        <v>114.87179487179486</v>
      </c>
      <c r="O34" s="14">
        <f>N34*VLOOKUP('Données projet'!$B$9,Paramètres!$A$1:$I$89,3,0)*VLOOKUP('Données projet'!$B$9,Paramètres!$A$1:$I$89,5,0)</f>
        <v>109.312</v>
      </c>
      <c r="P34" s="14">
        <f t="shared" si="33"/>
        <v>29.168827262472544</v>
      </c>
      <c r="Q34" s="22">
        <f t="shared" si="2"/>
        <v>241.187440815473</v>
      </c>
      <c r="R34" s="60">
        <f t="shared" si="0"/>
        <v>534.52077414880637</v>
      </c>
      <c r="S34" s="60">
        <f ca="1">AVERAGE(OFFSET($R$3,0,0,'Données projet'!$E$9+1,1))-AVERAGE(OFFSET($H$3,0,0,'Données projet'!$E$9+1,1))</f>
        <v>403.49781966317852</v>
      </c>
      <c r="T34" s="60">
        <f t="shared" si="34"/>
        <v>326.06674572505409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0</v>
      </c>
      <c r="AA34" s="23">
        <f>EXP(-LN(2)/25)*AA33+(1-EXP(-LN(2)/25))/(LN(2)/25)*Calculateur!V34*Calculateur!X34*VLOOKUP('Données projet'!$B$9,Paramètres!$A$1:$I$89,3,0)*0.475*44/12</f>
        <v>0</v>
      </c>
      <c r="AB34" s="23">
        <f>EXP(-LN(2)/2)*AB33+(1-EXP(-LN(2)/2))/(LN(2)/2)*V34*Y34*VLOOKUP('Données projet'!$B$9,Paramètres!$A$1:$I$89,3,0)*0.475*44/12</f>
        <v>0</v>
      </c>
      <c r="AC34" s="24">
        <f t="shared" si="3"/>
        <v>0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8.6</v>
      </c>
      <c r="AI34" s="14">
        <f>IF('Données projet'!$A$62&gt;35,AI33+AH34-AQ33,IF(A34&lt;'Données projet'!$A$62,$AF$205^A34,IF(A34='Données projet'!$A$62,'Données projet'!$B$62,AI33+AH34-AQ33)))</f>
        <v>122.59999999999998</v>
      </c>
      <c r="AJ34" s="14">
        <f>AI34*VLOOKUP('Données projet'!$B$10,Paramètres!$A$1:$I$89,3,0)*VLOOKUP('Données projet'!$B$10,Paramètres!$A$1:$I$89,5,0)</f>
        <v>107.10336</v>
      </c>
      <c r="AK34" s="14">
        <f t="shared" si="35"/>
        <v>28.647457255358184</v>
      </c>
      <c r="AL34" s="22">
        <f t="shared" si="4"/>
        <v>236.43267338641553</v>
      </c>
      <c r="AM34" s="60">
        <f t="shared" si="5"/>
        <v>529.76600671974882</v>
      </c>
      <c r="AN34" s="60">
        <f ca="1">AVERAGE(OFFSET($AM$3,0,0,'Données projet'!$E$10+1,1))-AVERAGE(OFFSET($H$3,0,0,'Données projet'!$E$10+1,1))</f>
        <v>274.66236526869056</v>
      </c>
      <c r="AO34" s="60">
        <f t="shared" si="36"/>
        <v>256.90876395053073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>
        <f>EXP(-LN(2)/35)*AU33+(1-EXP(-LN(2)/35))/(LN(2)/35)*AQ34*AR34*VLOOKUP('Données projet'!$B$10,Paramètres!$A$1:$I$89,3,0)*0.475*44/12</f>
        <v>0</v>
      </c>
      <c r="AV34" s="23">
        <f>EXP(-LN(2)/25)*AV33+(1-EXP(-LN(2)/25))/(LN(2)/25)*Calculateur!AQ34*Calculateur!AS34*VLOOKUP('Données projet'!$B$10,Paramètres!$A$1:$I$89,3,0)*0.475*44/12</f>
        <v>0</v>
      </c>
      <c r="AW34" s="23">
        <f>EXP(-LN(2)/2)*AW33+(1-EXP(-LN(2)/2))/(LN(2)/2)*AQ34*AT34*VLOOKUP('Données projet'!$B$10,Paramètres!$A$1:$I$89,3,0)*0.475*44/12</f>
        <v>0</v>
      </c>
      <c r="AX34" s="23">
        <f t="shared" si="6"/>
        <v>0</v>
      </c>
      <c r="AY34" s="76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10.8</v>
      </c>
      <c r="BD34" s="13">
        <f>IF('Données projet'!$A$88&gt;35,BD33+BC34-BL33,IF(A34&lt;'Données projet'!$A$88,$BA$205^A34,IF(A34='Données projet'!$A$88,'Données projet'!$B$88,BD33+BC34-BL33)))</f>
        <v>131.80000000000004</v>
      </c>
      <c r="BE34" s="14">
        <f>BD34*VLOOKUP('Données projet'!$B$11,Paramètres!$A$1:$I$89,3,0)*VLOOKUP('Données projet'!$B$11,Paramètres!$A$1:$I$89,5,0)</f>
        <v>119.25264000000003</v>
      </c>
      <c r="BF34" s="14">
        <f t="shared" si="37"/>
        <v>31.500626518374375</v>
      </c>
      <c r="BG34" s="22">
        <f t="shared" si="7"/>
        <v>262.56193918616879</v>
      </c>
      <c r="BH34" s="60">
        <f t="shared" si="8"/>
        <v>555.8952725195021</v>
      </c>
      <c r="BI34" s="60">
        <f ca="1">AVERAGE(OFFSET($BH$3,0,0,'Données projet'!$E$11+1,1))-AVERAGE(OFFSET($H$3,0,0,'Données projet'!$E$11+1,1))</f>
        <v>529.25712986118265</v>
      </c>
      <c r="BJ34" s="60">
        <f t="shared" si="38"/>
        <v>278.21741231699929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>
        <f>EXP(-LN(2)/35)*BP33+(1-EXP(-LN(2)/35))/(LN(2)/35)*BL34*BM34*VLOOKUP('Données projet'!$B$11,Paramètres!$A$1:$I$89,3,0)*0.475*44/12</f>
        <v>0</v>
      </c>
      <c r="BQ34" s="23">
        <f>EXP(-LN(2)/25)*BQ33+(1-EXP(-LN(2)/25))/(LN(2)/25)*Calculateur!BL34*Calculateur!BN34*VLOOKUP('Données projet'!$B$11,Paramètres!$A$1:$I$89,3,0)*0.475*44/12</f>
        <v>0</v>
      </c>
      <c r="BR34" s="23">
        <f>EXP(-LN(2)/2)*BR33+(1-EXP(-LN(2)/2))/(LN(2)/2)*BL34*BO34*VLOOKUP('Données projet'!$B$11,Paramètres!$A$1:$I$89,3,0)*0.475*44/12</f>
        <v>0</v>
      </c>
      <c r="BS34" s="24">
        <f t="shared" si="9"/>
        <v>0</v>
      </c>
      <c r="BT34" s="77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10.8</v>
      </c>
      <c r="BY34" s="13">
        <f>IF('Données projet'!$A$114&gt;35,BY33+BX34-CG33,IF(A34&lt;'Données projet'!$A$114,$BV$205^A34,IF(A34='Données projet'!$A$114,'Données projet'!$B$114,BY33+BX34-CG33)))</f>
        <v>131.80000000000004</v>
      </c>
      <c r="BZ34" s="14">
        <f>BY34*VLOOKUP('Données projet'!$B$12,Paramètres!$A$1:$I$89,3,0)*VLOOKUP('Données projet'!$B$12,Paramètres!$A$1:$I$89,5,0)</f>
        <v>133.64520000000005</v>
      </c>
      <c r="CA34" s="14">
        <f t="shared" si="39"/>
        <v>34.837297589797402</v>
      </c>
      <c r="CB34" s="22">
        <f t="shared" si="10"/>
        <v>293.44034996889724</v>
      </c>
      <c r="CC34" s="60">
        <f t="shared" si="11"/>
        <v>586.77368330223055</v>
      </c>
      <c r="CD34" s="60">
        <f ca="1">AVERAGE(OFFSET($CC$3,0,0,'Données projet'!$E$12+1,1))-AVERAGE(OFFSET($H$3,0,0,'Données projet'!$E$12+1,1))</f>
        <v>587.74247372331615</v>
      </c>
      <c r="CE34" s="60">
        <f t="shared" si="40"/>
        <v>306.61893266146666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>
        <f>EXP(-LN(2)/35)*CK33+(1-EXP(-LN(2)/35))/(LN(2)/35)*CG34*CH34*VLOOKUP('Données projet'!$B$12,Paramètres!$A$1:$I$89,3,0)*0.475*44/12</f>
        <v>0</v>
      </c>
      <c r="CL34" s="23">
        <f>EXP(-LN(2)/25)*CL33+(1-EXP(-LN(2)/25))/(LN(2)/25)*Calculateur!CG34*Calculateur!CI34*VLOOKUP('Données projet'!$B$12,Paramètres!$A$1:$I$89,3,0)*0.475*44/12</f>
        <v>0</v>
      </c>
      <c r="CM34" s="23">
        <f>EXP(-LN(2)/2)*CM33+(1-EXP(-LN(2)/2))/(LN(2)/2)*CG34*CJ34*VLOOKUP('Données projet'!$B$12,Paramètres!$A$1:$I$89,3,0)*0.475*44/12</f>
        <v>0</v>
      </c>
      <c r="CN34" s="24">
        <f t="shared" si="12"/>
        <v>0</v>
      </c>
      <c r="CO34" s="77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10.8</v>
      </c>
      <c r="CT34" s="13">
        <f>IF('Données projet'!$A$140&gt;35,CT33+CS34-DB33,IF(A34&lt;'Données projet'!$A$140,$CQ$205^A34,IF(A34='Données projet'!$A$140,'Données projet'!$B$140,CT33+CS34-DB33)))</f>
        <v>131.80000000000004</v>
      </c>
      <c r="CU34" s="18">
        <f>CT34*VLOOKUP('Données projet'!$B$13,Paramètres!$A$1:$I$89,3,0)*VLOOKUP('Données projet'!$B$13,Paramètres!$A$1:$I$89,5,0)</f>
        <v>141.86952000000005</v>
      </c>
      <c r="CV34" s="14">
        <f t="shared" si="41"/>
        <v>36.724955062927386</v>
      </c>
      <c r="CW34" s="22">
        <f t="shared" si="13"/>
        <v>311.05204406793194</v>
      </c>
      <c r="CX34" s="60">
        <f t="shared" si="14"/>
        <v>604.38537740126526</v>
      </c>
      <c r="CY34" s="60">
        <f ca="1">AVERAGE(OFFSET($CX$3,0,0,'Données projet'!$E$13+1,1))-AVERAGE(OFFSET($H$3,0,0,'Données projet'!$E$13+1,1))</f>
        <v>621.10465023992288</v>
      </c>
      <c r="CZ34" s="60">
        <f t="shared" si="42"/>
        <v>322.81767004794284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>
        <f>EXP(-LN(2)/35)*DF33+(1-EXP(-LN(2)/35))/(LN(2)/35)*DB34*DC34*VLOOKUP('Données projet'!$B$13,Paramètres!$A$1:$I$89,3,0)*0.475*44/12</f>
        <v>0</v>
      </c>
      <c r="DG34" s="23">
        <f>EXP(-LN(2)/25)*DG33+(1-EXP(-LN(2)/25))/(LN(2)/25)*Calculateur!DB34*Calculateur!DD34*VLOOKUP('Données projet'!$B$13,Paramètres!$A$1:$I$89,3,0)*0.475*44/12</f>
        <v>0</v>
      </c>
      <c r="DH34" s="23">
        <f>EXP(-LN(2)/2)*DH33+(1-EXP(-LN(2)/2))/(LN(2)/2)*DB34*DE34*VLOOKUP('Données projet'!$B$13,Paramètres!$A$1:$I$89,3,0)*0.475*44/12</f>
        <v>0</v>
      </c>
      <c r="DI34" s="24">
        <f t="shared" si="15"/>
        <v>0</v>
      </c>
      <c r="DJ34" s="77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10.8</v>
      </c>
      <c r="DO34" s="13">
        <f>IF('Données projet'!$A$166&gt;35,DO33+DN34-DW33,IF(A34&lt;'Données projet'!$A$166,$DL$205^A34,IF(A34='Données projet'!$A$166,'Données projet'!$B$166,DO33+DN34-DW33)))</f>
        <v>131.80000000000004</v>
      </c>
      <c r="DP34" s="18">
        <f>DO34*VLOOKUP('Données projet'!$B$14,Paramètres!$A$1:$I$89,3,0)*VLOOKUP('Données projet'!$B$14,Paramètres!$A$1:$I$89,5,0)</f>
        <v>127.47696000000003</v>
      </c>
      <c r="DQ34" s="14">
        <f t="shared" si="43"/>
        <v>33.412695535466739</v>
      </c>
      <c r="DR34" s="22">
        <f t="shared" si="16"/>
        <v>280.21615005760458</v>
      </c>
      <c r="DS34" s="60">
        <f t="shared" si="17"/>
        <v>573.54948339093789</v>
      </c>
      <c r="DT34" s="60">
        <f ca="1">AVERAGE(OFFSET($DS$3,0,0,'Données projet'!$E$14+1,1))-AVERAGE(OFFSET($H$3,0,0,'Données projet'!$E$14+1,1))</f>
        <v>562.69380557620775</v>
      </c>
      <c r="DU34" s="60">
        <f t="shared" si="44"/>
        <v>294.45557293177131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>
        <f>EXP(-LN(2)/35)*EA33+(1-EXP(-LN(2)/35))/(LN(2)/35)*DW34*DX34*VLOOKUP('Données projet'!$B$14,Paramètres!$A$1:$I$89,3,0)*0.475*44/12</f>
        <v>0</v>
      </c>
      <c r="EB34" s="23">
        <f>EXP(-LN(2)/25)*EB33+(1-EXP(-LN(2)/25))/(LN(2)/25)*Calculateur!DW34*Calculateur!DY34*VLOOKUP('Données projet'!$B$14,Paramètres!$A$1:$I$89,3,0)*0.475*44/12</f>
        <v>0</v>
      </c>
      <c r="EC34" s="23">
        <f>EXP(-LN(2)/2)*EC33+(1-EXP(-LN(2)/2))/(LN(2)/2)*DW34*DZ34*VLOOKUP('Données projet'!$B$14,Paramètres!$A$1:$I$89,3,0)*0.475*44/12</f>
        <v>0</v>
      </c>
      <c r="ED34" s="24">
        <f t="shared" si="18"/>
        <v>0</v>
      </c>
      <c r="EE34" s="77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>
        <f>VLOOKUP(A34,'Données projet'!$A$191:$I$211,2,0)</f>
        <v>155</v>
      </c>
      <c r="EH34" s="13">
        <f>VLOOKUP(A34,'Données projet'!$A$191:$I$211,9,0)</f>
        <v>11.5</v>
      </c>
      <c r="EI34" s="13">
        <f t="array" ref="EI34">INDEX(EH:EH,MIN(IF(ISNUMBER(EH34:EH230),ROW(EH34:EH230),"")))</f>
        <v>11.5</v>
      </c>
      <c r="EJ34" s="13">
        <f>IF('Données projet'!$A$192&gt;35,EJ33+EI34-ER33,IF(A34&lt;'Données projet'!$A$192,$EG$205^A34,IF(A34='Données projet'!$A$192,'Données projet'!$B$192,EJ33+EI34-ER33)))</f>
        <v>154.99999999999997</v>
      </c>
      <c r="EK34" s="18">
        <f>EJ34*VLOOKUP('Données projet'!$B$15,Paramètres!$A$1:$I$89,3,0)*VLOOKUP('Données projet'!$B$15,Paramètres!$A$1:$I$89,5,0)</f>
        <v>120.89999999999998</v>
      </c>
      <c r="EL34" s="14">
        <f t="shared" si="45"/>
        <v>31.884818143351602</v>
      </c>
      <c r="EM34" s="22">
        <f t="shared" si="19"/>
        <v>266.10022493300397</v>
      </c>
      <c r="EN34" s="60">
        <f t="shared" si="20"/>
        <v>559.43355826633729</v>
      </c>
      <c r="EO34" s="60">
        <f ca="1">AVERAGE(OFFSET($EN$3,0,0,'Données projet'!$E$15+1,1))-AVERAGE(OFFSET($H$3,0,0,'Données projet'!$E$15+1,1))</f>
        <v>292.57482726862594</v>
      </c>
      <c r="EP34" s="60">
        <f t="shared" si="46"/>
        <v>283.48738729114024</v>
      </c>
      <c r="EQ34" s="16">
        <f>IF(ISNA(VLOOKUP(A34,'Données projet'!$A$191:$I$211,3,0)),0,VLOOKUP(A34,'Données projet'!$A$191:$I$211,3,0))</f>
        <v>2</v>
      </c>
      <c r="ER34" s="16">
        <f>IF(ISNA(VLOOKUP(A34,'Données projet'!$A$191:$I$211,4,0)),0,VLOOKUP(A34,'Données projet'!$A$191:$I$211,4,0))</f>
        <v>36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>
        <f>EXP(-LN(2)/35)*EV33+(1-EXP(-LN(2)/35))/(LN(2)/35)*ER34*ES34*VLOOKUP('Données projet'!$B$15,Paramètres!$A$1:$I$89,3,0)*0.475*44/12</f>
        <v>0</v>
      </c>
      <c r="EW34" s="23">
        <f>EXP(-LN(2)/25)*EW33+(1-EXP(-LN(2)/25))/(LN(2)/25)*Calculateur!ER34*Calculateur!ET34*VLOOKUP('Données projet'!$B$15,Paramètres!$A$1:$I$89,3,0)*0.475*44/12</f>
        <v>0</v>
      </c>
      <c r="EX34" s="23">
        <f>EXP(-LN(2)/2)*EX33+(1-EXP(-LN(2)/2))/(LN(2)/2)*ER34*EU34*VLOOKUP('Données projet'!$B$15,Paramètres!$A$1:$I$89,3,0)*0.475*44/12</f>
        <v>0</v>
      </c>
      <c r="EY34" s="24">
        <f t="shared" si="21"/>
        <v>0</v>
      </c>
      <c r="EZ34" s="77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0" t="e">
        <f t="shared" si="23"/>
        <v>#N/A</v>
      </c>
      <c r="FJ34" s="60" t="e">
        <f ca="1">AVERAGE(OFFSET($FI$3,0,0,'Données projet'!$E$16+1,1))-AVERAGE(OFFSET($H$3,0,0,'Données projet'!$E$16+1,1))</f>
        <v>#N/A</v>
      </c>
      <c r="FK34" s="60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77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0" t="e">
        <f t="shared" si="26"/>
        <v>#N/A</v>
      </c>
      <c r="GE34" s="60" t="e">
        <f ca="1">AVERAGE(OFFSET($GD$3,0,0,'Données projet'!$E$17+1,1))-AVERAGE(OFFSET($H$3,0,0,'Données projet'!$E$17+1,1))</f>
        <v>#N/A</v>
      </c>
      <c r="GF34" s="60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77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0" t="e">
        <f t="shared" si="29"/>
        <v>#N/A</v>
      </c>
      <c r="GZ34" s="60" t="e">
        <f ca="1">AVERAGE(OFFSET($GY$3,0,0,'Données projet'!$E$18+1,1))-AVERAGE(OFFSET($H$3,0,0,'Données projet'!$E$18+1,1))</f>
        <v>#N/A</v>
      </c>
      <c r="HA34" s="60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25">
      <c r="A35" s="11">
        <f t="shared" si="31"/>
        <v>32</v>
      </c>
      <c r="B35" s="74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2">
        <f t="shared" si="32"/>
        <v>0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0</v>
      </c>
      <c r="H35" s="67">
        <f t="shared" si="1"/>
        <v>256.66666666666669</v>
      </c>
      <c r="I35" s="7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7.1794871794871824</v>
      </c>
      <c r="N35" s="14">
        <f>IF('Données projet'!$A$36&gt;35,N34+M35-V34,IF(A35&lt;'Données projet'!$A$36,$K$205^A35,IF(A35='Données projet'!$A$36,'Données projet'!$B$36,N34+M35-V34)))</f>
        <v>122.05128205128204</v>
      </c>
      <c r="O35" s="14">
        <f>N35*VLOOKUP('Données projet'!$B$9,Paramètres!$A$1:$I$89,3,0)*VLOOKUP('Données projet'!$B$9,Paramètres!$A$1:$I$89,5,0)</f>
        <v>116.14400000000001</v>
      </c>
      <c r="P35" s="14">
        <f t="shared" si="33"/>
        <v>30.773948229686635</v>
      </c>
      <c r="Q35" s="22">
        <f t="shared" ref="Q35:Q66" si="53">(O35+P35)*0.475*44/12</f>
        <v>255.88209316670418</v>
      </c>
      <c r="R35" s="60">
        <f t="shared" si="0"/>
        <v>549.21542650003744</v>
      </c>
      <c r="S35" s="60">
        <f ca="1">AVERAGE(OFFSET($R$3,0,0,'Données projet'!$E$9+1,1))-AVERAGE(OFFSET($H$3,0,0,'Données projet'!$E$9+1,1))</f>
        <v>403.49781966317852</v>
      </c>
      <c r="T35" s="60">
        <f t="shared" si="34"/>
        <v>326.06674572505409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0</v>
      </c>
      <c r="AA35" s="23">
        <f>EXP(-LN(2)/25)*AA34+(1-EXP(-LN(2)/25))/(LN(2)/25)*Calculateur!V35*Calculateur!X35*VLOOKUP('Données projet'!$B$9,Paramètres!$A$1:$I$89,3,0)*0.475*44/12</f>
        <v>0</v>
      </c>
      <c r="AB35" s="23">
        <f>EXP(-LN(2)/2)*AB34+(1-EXP(-LN(2)/2))/(LN(2)/2)*V35*Y35*VLOOKUP('Données projet'!$B$9,Paramètres!$A$1:$I$89,3,0)*0.475*44/12</f>
        <v>0</v>
      </c>
      <c r="AC35" s="24">
        <f t="shared" si="3"/>
        <v>0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8.6</v>
      </c>
      <c r="AI35" s="14">
        <f>IF('Données projet'!$A$62&gt;35,AI34+AH35-AQ34,IF(A35&lt;'Données projet'!$A$62,$AF$205^A35,IF(A35='Données projet'!$A$62,'Données projet'!$B$62,AI34+AH35-AQ34)))</f>
        <v>131.19999999999999</v>
      </c>
      <c r="AJ35" s="14">
        <f>AI35*VLOOKUP('Données projet'!$B$10,Paramètres!$A$1:$I$89,3,0)*VLOOKUP('Données projet'!$B$10,Paramètres!$A$1:$I$89,5,0)</f>
        <v>114.61632</v>
      </c>
      <c r="AK35" s="14">
        <f t="shared" si="35"/>
        <v>30.416009647934409</v>
      </c>
      <c r="AL35" s="22">
        <f t="shared" si="4"/>
        <v>252.59797413681909</v>
      </c>
      <c r="AM35" s="60">
        <f t="shared" si="5"/>
        <v>545.93130747015243</v>
      </c>
      <c r="AN35" s="60">
        <f ca="1">AVERAGE(OFFSET($AM$3,0,0,'Données projet'!$E$10+1,1))-AVERAGE(OFFSET($H$3,0,0,'Données projet'!$E$10+1,1))</f>
        <v>274.66236526869056</v>
      </c>
      <c r="AO35" s="60">
        <f t="shared" si="36"/>
        <v>256.90876395053073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>
        <f>EXP(-LN(2)/35)*AU34+(1-EXP(-LN(2)/35))/(LN(2)/35)*AQ35*AR35*VLOOKUP('Données projet'!$B$10,Paramètres!$A$1:$I$89,3,0)*0.475*44/12</f>
        <v>0</v>
      </c>
      <c r="AV35" s="23">
        <f>EXP(-LN(2)/25)*AV34+(1-EXP(-LN(2)/25))/(LN(2)/25)*Calculateur!AQ35*Calculateur!AS35*VLOOKUP('Données projet'!$B$10,Paramètres!$A$1:$I$89,3,0)*0.475*44/12</f>
        <v>0</v>
      </c>
      <c r="AW35" s="23">
        <f>EXP(-LN(2)/2)*AW34+(1-EXP(-LN(2)/2))/(LN(2)/2)*AQ35*AT35*VLOOKUP('Données projet'!$B$10,Paramètres!$A$1:$I$89,3,0)*0.475*44/12</f>
        <v>0</v>
      </c>
      <c r="AX35" s="23">
        <f t="shared" si="6"/>
        <v>0</v>
      </c>
      <c r="AY35" s="76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10.8</v>
      </c>
      <c r="BD35" s="13">
        <f>IF('Données projet'!$A$88&gt;35,BD34+BC35-BL34,IF(A35&lt;'Données projet'!$A$88,$BA$205^A35,IF(A35='Données projet'!$A$88,'Données projet'!$B$88,BD34+BC35-BL34)))</f>
        <v>142.60000000000005</v>
      </c>
      <c r="BE35" s="14">
        <f>BD35*VLOOKUP('Données projet'!$B$11,Paramètres!$A$1:$I$89,3,0)*VLOOKUP('Données projet'!$B$11,Paramètres!$A$1:$I$89,5,0)</f>
        <v>129.02448000000004</v>
      </c>
      <c r="BF35" s="14">
        <f t="shared" si="37"/>
        <v>33.770846580616279</v>
      </c>
      <c r="BG35" s="22">
        <f t="shared" si="7"/>
        <v>283.53519379457339</v>
      </c>
      <c r="BH35" s="60">
        <f t="shared" si="8"/>
        <v>576.86852712790665</v>
      </c>
      <c r="BI35" s="60">
        <f ca="1">AVERAGE(OFFSET($BH$3,0,0,'Données projet'!$E$11+1,1))-AVERAGE(OFFSET($H$3,0,0,'Données projet'!$E$11+1,1))</f>
        <v>529.25712986118265</v>
      </c>
      <c r="BJ35" s="60">
        <f t="shared" si="38"/>
        <v>278.21741231699929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>
        <f>EXP(-LN(2)/35)*BP34+(1-EXP(-LN(2)/35))/(LN(2)/35)*BL35*BM35*VLOOKUP('Données projet'!$B$11,Paramètres!$A$1:$I$89,3,0)*0.475*44/12</f>
        <v>0</v>
      </c>
      <c r="BQ35" s="23">
        <f>EXP(-LN(2)/25)*BQ34+(1-EXP(-LN(2)/25))/(LN(2)/25)*Calculateur!BL35*Calculateur!BN35*VLOOKUP('Données projet'!$B$11,Paramètres!$A$1:$I$89,3,0)*0.475*44/12</f>
        <v>0</v>
      </c>
      <c r="BR35" s="23">
        <f>EXP(-LN(2)/2)*BR34+(1-EXP(-LN(2)/2))/(LN(2)/2)*BL35*BO35*VLOOKUP('Données projet'!$B$11,Paramètres!$A$1:$I$89,3,0)*0.475*44/12</f>
        <v>0</v>
      </c>
      <c r="BS35" s="24">
        <f t="shared" si="9"/>
        <v>0</v>
      </c>
      <c r="BT35" s="77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10.8</v>
      </c>
      <c r="BY35" s="13">
        <f>IF('Données projet'!$A$114&gt;35,BY34+BX35-CG34,IF(A35&lt;'Données projet'!$A$114,$BV$205^A35,IF(A35='Données projet'!$A$114,'Données projet'!$B$114,BY34+BX35-CG34)))</f>
        <v>142.60000000000005</v>
      </c>
      <c r="BZ35" s="14">
        <f>BY35*VLOOKUP('Données projet'!$B$12,Paramètres!$A$1:$I$89,3,0)*VLOOKUP('Données projet'!$B$12,Paramètres!$A$1:$I$89,5,0)</f>
        <v>144.59640000000007</v>
      </c>
      <c r="CA35" s="14">
        <f t="shared" si="39"/>
        <v>37.347988348805558</v>
      </c>
      <c r="CB35" s="22">
        <f t="shared" si="10"/>
        <v>316.88647637416977</v>
      </c>
      <c r="CC35" s="60">
        <f t="shared" si="11"/>
        <v>610.21980970750315</v>
      </c>
      <c r="CD35" s="60">
        <f ca="1">AVERAGE(OFFSET($CC$3,0,0,'Données projet'!$E$12+1,1))-AVERAGE(OFFSET($H$3,0,0,'Données projet'!$E$12+1,1))</f>
        <v>587.74247372331615</v>
      </c>
      <c r="CE35" s="60">
        <f t="shared" si="40"/>
        <v>306.61893266146666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>
        <f>EXP(-LN(2)/35)*CK34+(1-EXP(-LN(2)/35))/(LN(2)/35)*CG35*CH35*VLOOKUP('Données projet'!$B$12,Paramètres!$A$1:$I$89,3,0)*0.475*44/12</f>
        <v>0</v>
      </c>
      <c r="CL35" s="23">
        <f>EXP(-LN(2)/25)*CL34+(1-EXP(-LN(2)/25))/(LN(2)/25)*Calculateur!CG35*Calculateur!CI35*VLOOKUP('Données projet'!$B$12,Paramètres!$A$1:$I$89,3,0)*0.475*44/12</f>
        <v>0</v>
      </c>
      <c r="CM35" s="23">
        <f>EXP(-LN(2)/2)*CM34+(1-EXP(-LN(2)/2))/(LN(2)/2)*CG35*CJ35*VLOOKUP('Données projet'!$B$12,Paramètres!$A$1:$I$89,3,0)*0.475*44/12</f>
        <v>0</v>
      </c>
      <c r="CN35" s="24">
        <f t="shared" si="12"/>
        <v>0</v>
      </c>
      <c r="CO35" s="77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10.8</v>
      </c>
      <c r="CT35" s="13">
        <f>IF('Données projet'!$A$140&gt;35,CT34+CS35-DB34,IF(A35&lt;'Données projet'!$A$140,$CQ$205^A35,IF(A35='Données projet'!$A$140,'Données projet'!$B$140,CT34+CS35-DB34)))</f>
        <v>142.60000000000005</v>
      </c>
      <c r="CU35" s="18">
        <f>CT35*VLOOKUP('Données projet'!$B$13,Paramètres!$A$1:$I$89,3,0)*VLOOKUP('Données projet'!$B$13,Paramètres!$A$1:$I$89,5,0)</f>
        <v>153.49464000000006</v>
      </c>
      <c r="CV35" s="14">
        <f t="shared" si="41"/>
        <v>39.371687492841382</v>
      </c>
      <c r="CW35" s="22">
        <f t="shared" si="13"/>
        <v>335.90885371669884</v>
      </c>
      <c r="CX35" s="60">
        <f t="shared" si="14"/>
        <v>629.24218705003216</v>
      </c>
      <c r="CY35" s="60">
        <f ca="1">AVERAGE(OFFSET($CX$3,0,0,'Données projet'!$E$13+1,1))-AVERAGE(OFFSET($H$3,0,0,'Données projet'!$E$13+1,1))</f>
        <v>621.10465023992288</v>
      </c>
      <c r="CZ35" s="60">
        <f t="shared" si="42"/>
        <v>322.81767004794284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>
        <f>EXP(-LN(2)/35)*DF34+(1-EXP(-LN(2)/35))/(LN(2)/35)*DB35*DC35*VLOOKUP('Données projet'!$B$13,Paramètres!$A$1:$I$89,3,0)*0.475*44/12</f>
        <v>0</v>
      </c>
      <c r="DG35" s="23">
        <f>EXP(-LN(2)/25)*DG34+(1-EXP(-LN(2)/25))/(LN(2)/25)*Calculateur!DB35*Calculateur!DD35*VLOOKUP('Données projet'!$B$13,Paramètres!$A$1:$I$89,3,0)*0.475*44/12</f>
        <v>0</v>
      </c>
      <c r="DH35" s="23">
        <f>EXP(-LN(2)/2)*DH34+(1-EXP(-LN(2)/2))/(LN(2)/2)*DB35*DE35*VLOOKUP('Données projet'!$B$13,Paramètres!$A$1:$I$89,3,0)*0.475*44/12</f>
        <v>0</v>
      </c>
      <c r="DI35" s="24">
        <f t="shared" si="15"/>
        <v>0</v>
      </c>
      <c r="DJ35" s="77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10.8</v>
      </c>
      <c r="DO35" s="13">
        <f>IF('Données projet'!$A$166&gt;35,DO34+DN35-DW34,IF(A35&lt;'Données projet'!$A$166,$DL$205^A35,IF(A35='Données projet'!$A$166,'Données projet'!$B$166,DO34+DN35-DW34)))</f>
        <v>142.60000000000005</v>
      </c>
      <c r="DP35" s="18">
        <f>DO35*VLOOKUP('Données projet'!$B$14,Paramètres!$A$1:$I$89,3,0)*VLOOKUP('Données projet'!$B$14,Paramètres!$A$1:$I$89,5,0)</f>
        <v>137.92272000000006</v>
      </c>
      <c r="DQ35" s="14">
        <f t="shared" si="43"/>
        <v>35.82071658526872</v>
      </c>
      <c r="DR35" s="22">
        <f t="shared" si="16"/>
        <v>302.60315205267642</v>
      </c>
      <c r="DS35" s="60">
        <f t="shared" si="17"/>
        <v>595.93648538600974</v>
      </c>
      <c r="DT35" s="60">
        <f ca="1">AVERAGE(OFFSET($DS$3,0,0,'Données projet'!$E$14+1,1))-AVERAGE(OFFSET($H$3,0,0,'Données projet'!$E$14+1,1))</f>
        <v>562.69380557620775</v>
      </c>
      <c r="DU35" s="60">
        <f t="shared" si="44"/>
        <v>294.45557293177131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>
        <f>EXP(-LN(2)/35)*EA34+(1-EXP(-LN(2)/35))/(LN(2)/35)*DW35*DX35*VLOOKUP('Données projet'!$B$14,Paramètres!$A$1:$I$89,3,0)*0.475*44/12</f>
        <v>0</v>
      </c>
      <c r="EB35" s="23">
        <f>EXP(-LN(2)/25)*EB34+(1-EXP(-LN(2)/25))/(LN(2)/25)*Calculateur!DW35*Calculateur!DY35*VLOOKUP('Données projet'!$B$14,Paramètres!$A$1:$I$89,3,0)*0.475*44/12</f>
        <v>0</v>
      </c>
      <c r="EC35" s="23">
        <f>EXP(-LN(2)/2)*EC34+(1-EXP(-LN(2)/2))/(LN(2)/2)*DW35*DZ35*VLOOKUP('Données projet'!$B$14,Paramètres!$A$1:$I$89,3,0)*0.475*44/12</f>
        <v>0</v>
      </c>
      <c r="ED35" s="24">
        <f t="shared" si="18"/>
        <v>0</v>
      </c>
      <c r="EE35" s="77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11.5</v>
      </c>
      <c r="EJ35" s="13">
        <f>IF('Données projet'!$A$192&gt;35,EJ34+EI35-ER34,IF(A35&lt;'Données projet'!$A$192,$EG$205^A35,IF(A35='Données projet'!$A$192,'Données projet'!$B$192,EJ34+EI35-ER34)))</f>
        <v>130.49999999999997</v>
      </c>
      <c r="EK35" s="18">
        <f>EJ35*VLOOKUP('Données projet'!$B$15,Paramètres!$A$1:$I$89,3,0)*VLOOKUP('Données projet'!$B$15,Paramètres!$A$1:$I$89,5,0)</f>
        <v>101.78999999999998</v>
      </c>
      <c r="EL35" s="14">
        <f t="shared" si="45"/>
        <v>27.38799903683508</v>
      </c>
      <c r="EM35" s="22">
        <f t="shared" si="19"/>
        <v>224.98501498915437</v>
      </c>
      <c r="EN35" s="60">
        <f t="shared" si="20"/>
        <v>518.31834832248774</v>
      </c>
      <c r="EO35" s="60">
        <f ca="1">AVERAGE(OFFSET($EN$3,0,0,'Données projet'!$E$15+1,1))-AVERAGE(OFFSET($H$3,0,0,'Données projet'!$E$15+1,1))</f>
        <v>292.57482726862594</v>
      </c>
      <c r="EP35" s="60">
        <f t="shared" si="46"/>
        <v>283.48738729114024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>
        <f>EXP(-LN(2)/35)*EV34+(1-EXP(-LN(2)/35))/(LN(2)/35)*ER35*ES35*VLOOKUP('Données projet'!$B$15,Paramètres!$A$1:$I$89,3,0)*0.475*44/12</f>
        <v>0</v>
      </c>
      <c r="EW35" s="23">
        <f>EXP(-LN(2)/25)*EW34+(1-EXP(-LN(2)/25))/(LN(2)/25)*Calculateur!ER35*Calculateur!ET35*VLOOKUP('Données projet'!$B$15,Paramètres!$A$1:$I$89,3,0)*0.475*44/12</f>
        <v>0</v>
      </c>
      <c r="EX35" s="23">
        <f>EXP(-LN(2)/2)*EX34+(1-EXP(-LN(2)/2))/(LN(2)/2)*ER35*EU35*VLOOKUP('Données projet'!$B$15,Paramètres!$A$1:$I$89,3,0)*0.475*44/12</f>
        <v>0</v>
      </c>
      <c r="EY35" s="24">
        <f t="shared" si="21"/>
        <v>0</v>
      </c>
      <c r="EZ35" s="77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0" t="e">
        <f t="shared" si="23"/>
        <v>#N/A</v>
      </c>
      <c r="FJ35" s="60" t="e">
        <f ca="1">AVERAGE(OFFSET($FI$3,0,0,'Données projet'!$E$16+1,1))-AVERAGE(OFFSET($H$3,0,0,'Données projet'!$E$16+1,1))</f>
        <v>#N/A</v>
      </c>
      <c r="FK35" s="60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77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0" t="e">
        <f t="shared" si="26"/>
        <v>#N/A</v>
      </c>
      <c r="GE35" s="60" t="e">
        <f ca="1">AVERAGE(OFFSET($GD$3,0,0,'Données projet'!$E$17+1,1))-AVERAGE(OFFSET($H$3,0,0,'Données projet'!$E$17+1,1))</f>
        <v>#N/A</v>
      </c>
      <c r="GF35" s="60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77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0" t="e">
        <f t="shared" si="29"/>
        <v>#N/A</v>
      </c>
      <c r="GZ35" s="60" t="e">
        <f ca="1">AVERAGE(OFFSET($GY$3,0,0,'Données projet'!$E$18+1,1))-AVERAGE(OFFSET($H$3,0,0,'Données projet'!$E$18+1,1))</f>
        <v>#N/A</v>
      </c>
      <c r="HA35" s="60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25">
      <c r="A36" s="11">
        <f t="shared" si="31"/>
        <v>33</v>
      </c>
      <c r="B36" s="74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2">
        <f t="shared" si="32"/>
        <v>0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0</v>
      </c>
      <c r="H36" s="67">
        <f t="shared" si="1"/>
        <v>256.66666666666669</v>
      </c>
      <c r="I36" s="7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7.1794871794871824</v>
      </c>
      <c r="N36" s="14">
        <f>IF('Données projet'!$A$36&gt;35,N35+M36-V35,IF(A36&lt;'Données projet'!$A$36,$K$205^A36,IF(A36='Données projet'!$A$36,'Données projet'!$B$36,N35+M36-V35)))</f>
        <v>129.23076923076923</v>
      </c>
      <c r="O36" s="14">
        <f>N36*VLOOKUP('Données projet'!$B$9,Paramètres!$A$1:$I$89,3,0)*VLOOKUP('Données projet'!$B$9,Paramètres!$A$1:$I$89,5,0)</f>
        <v>122.97599999999998</v>
      </c>
      <c r="P36" s="14">
        <f t="shared" si="33"/>
        <v>32.368109708379897</v>
      </c>
      <c r="Q36" s="22">
        <f t="shared" si="53"/>
        <v>270.55765774209493</v>
      </c>
      <c r="R36" s="60">
        <f t="shared" si="0"/>
        <v>563.89099107542825</v>
      </c>
      <c r="S36" s="60">
        <f ca="1">AVERAGE(OFFSET($R$3,0,0,'Données projet'!$E$9+1,1))-AVERAGE(OFFSET($H$3,0,0,'Données projet'!$E$9+1,1))</f>
        <v>403.49781966317852</v>
      </c>
      <c r="T36" s="60">
        <f t="shared" si="34"/>
        <v>326.06674572505409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0</v>
      </c>
      <c r="AA36" s="23">
        <f>EXP(-LN(2)/25)*AA35+(1-EXP(-LN(2)/25))/(LN(2)/25)*Calculateur!V36*Calculateur!X36*VLOOKUP('Données projet'!$B$9,Paramètres!$A$1:$I$89,3,0)*0.475*44/12</f>
        <v>0</v>
      </c>
      <c r="AB36" s="23">
        <f>EXP(-LN(2)/2)*AB35+(1-EXP(-LN(2)/2))/(LN(2)/2)*V36*Y36*VLOOKUP('Données projet'!$B$9,Paramètres!$A$1:$I$89,3,0)*0.475*44/12</f>
        <v>0</v>
      </c>
      <c r="AC36" s="24">
        <f t="shared" si="3"/>
        <v>0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8.6</v>
      </c>
      <c r="AI36" s="14">
        <f>IF('Données projet'!$A$62&gt;35,AI35+AH36-AQ35,IF(A36&lt;'Données projet'!$A$62,$AF$205^A36,IF(A36='Données projet'!$A$62,'Données projet'!$B$62,AI35+AH36-AQ35)))</f>
        <v>139.79999999999998</v>
      </c>
      <c r="AJ36" s="14">
        <f>AI36*VLOOKUP('Données projet'!$B$10,Paramètres!$A$1:$I$89,3,0)*VLOOKUP('Données projet'!$B$10,Paramètres!$A$1:$I$89,5,0)</f>
        <v>122.12927999999999</v>
      </c>
      <c r="AK36" s="14">
        <f t="shared" si="35"/>
        <v>32.171109382958193</v>
      </c>
      <c r="AL36" s="22">
        <f t="shared" si="4"/>
        <v>268.73984484198553</v>
      </c>
      <c r="AM36" s="60">
        <f t="shared" si="5"/>
        <v>562.07317817531884</v>
      </c>
      <c r="AN36" s="60">
        <f ca="1">AVERAGE(OFFSET($AM$3,0,0,'Données projet'!$E$10+1,1))-AVERAGE(OFFSET($H$3,0,0,'Données projet'!$E$10+1,1))</f>
        <v>274.66236526869056</v>
      </c>
      <c r="AO36" s="60">
        <f t="shared" si="36"/>
        <v>256.90876395053073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>
        <f>EXP(-LN(2)/35)*AU35+(1-EXP(-LN(2)/35))/(LN(2)/35)*AQ36*AR36*VLOOKUP('Données projet'!$B$10,Paramètres!$A$1:$I$89,3,0)*0.475*44/12</f>
        <v>0</v>
      </c>
      <c r="AV36" s="23">
        <f>EXP(-LN(2)/25)*AV35+(1-EXP(-LN(2)/25))/(LN(2)/25)*Calculateur!AQ36*Calculateur!AS36*VLOOKUP('Données projet'!$B$10,Paramètres!$A$1:$I$89,3,0)*0.475*44/12</f>
        <v>0</v>
      </c>
      <c r="AW36" s="23">
        <f>EXP(-LN(2)/2)*AW35+(1-EXP(-LN(2)/2))/(LN(2)/2)*AQ36*AT36*VLOOKUP('Données projet'!$B$10,Paramètres!$A$1:$I$89,3,0)*0.475*44/12</f>
        <v>0</v>
      </c>
      <c r="AX36" s="23">
        <f t="shared" si="6"/>
        <v>0</v>
      </c>
      <c r="AY36" s="76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10.8</v>
      </c>
      <c r="BD36" s="13">
        <f>IF('Données projet'!$A$88&gt;35,BD35+BC36-BL35,IF(A36&lt;'Données projet'!$A$88,$BA$205^A36,IF(A36='Données projet'!$A$88,'Données projet'!$B$88,BD35+BC36-BL35)))</f>
        <v>153.40000000000006</v>
      </c>
      <c r="BE36" s="14">
        <f>BD36*VLOOKUP('Données projet'!$B$11,Paramètres!$A$1:$I$89,3,0)*VLOOKUP('Données projet'!$B$11,Paramètres!$A$1:$I$89,5,0)</f>
        <v>138.79632000000007</v>
      </c>
      <c r="BF36" s="14">
        <f t="shared" si="37"/>
        <v>36.021120886354588</v>
      </c>
      <c r="BG36" s="22">
        <f t="shared" si="7"/>
        <v>304.47370954373434</v>
      </c>
      <c r="BH36" s="60">
        <f t="shared" si="8"/>
        <v>597.80704287706772</v>
      </c>
      <c r="BI36" s="60">
        <f ca="1">AVERAGE(OFFSET($BH$3,0,0,'Données projet'!$E$11+1,1))-AVERAGE(OFFSET($H$3,0,0,'Données projet'!$E$11+1,1))</f>
        <v>529.25712986118265</v>
      </c>
      <c r="BJ36" s="60">
        <f t="shared" si="38"/>
        <v>278.21741231699929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>
        <f>EXP(-LN(2)/35)*BP35+(1-EXP(-LN(2)/35))/(LN(2)/35)*BL36*BM36*VLOOKUP('Données projet'!$B$11,Paramètres!$A$1:$I$89,3,0)*0.475*44/12</f>
        <v>0</v>
      </c>
      <c r="BQ36" s="23">
        <f>EXP(-LN(2)/25)*BQ35+(1-EXP(-LN(2)/25))/(LN(2)/25)*Calculateur!BL36*Calculateur!BN36*VLOOKUP('Données projet'!$B$11,Paramètres!$A$1:$I$89,3,0)*0.475*44/12</f>
        <v>0</v>
      </c>
      <c r="BR36" s="23">
        <f>EXP(-LN(2)/2)*BR35+(1-EXP(-LN(2)/2))/(LN(2)/2)*BL36*BO36*VLOOKUP('Données projet'!$B$11,Paramètres!$A$1:$I$89,3,0)*0.475*44/12</f>
        <v>0</v>
      </c>
      <c r="BS36" s="24">
        <f t="shared" si="9"/>
        <v>0</v>
      </c>
      <c r="BT36" s="77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10.8</v>
      </c>
      <c r="BY36" s="13">
        <f>IF('Données projet'!$A$114&gt;35,BY35+BX36-CG35,IF(A36&lt;'Données projet'!$A$114,$BV$205^A36,IF(A36='Données projet'!$A$114,'Données projet'!$B$114,BY35+BX36-CG35)))</f>
        <v>153.40000000000006</v>
      </c>
      <c r="BZ36" s="14">
        <f>BY36*VLOOKUP('Données projet'!$B$12,Paramètres!$A$1:$I$89,3,0)*VLOOKUP('Données projet'!$B$12,Paramètres!$A$1:$I$89,5,0)</f>
        <v>155.54760000000007</v>
      </c>
      <c r="CA36" s="14">
        <f t="shared" si="39"/>
        <v>39.836620617816237</v>
      </c>
      <c r="CB36" s="22">
        <f t="shared" si="10"/>
        <v>340.2941842426967</v>
      </c>
      <c r="CC36" s="60">
        <f t="shared" si="11"/>
        <v>633.62751757602996</v>
      </c>
      <c r="CD36" s="60">
        <f ca="1">AVERAGE(OFFSET($CC$3,0,0,'Données projet'!$E$12+1,1))-AVERAGE(OFFSET($H$3,0,0,'Données projet'!$E$12+1,1))</f>
        <v>587.74247372331615</v>
      </c>
      <c r="CE36" s="60">
        <f t="shared" si="40"/>
        <v>306.61893266146666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>
        <f>EXP(-LN(2)/35)*CK35+(1-EXP(-LN(2)/35))/(LN(2)/35)*CG36*CH36*VLOOKUP('Données projet'!$B$12,Paramètres!$A$1:$I$89,3,0)*0.475*44/12</f>
        <v>0</v>
      </c>
      <c r="CL36" s="23">
        <f>EXP(-LN(2)/25)*CL35+(1-EXP(-LN(2)/25))/(LN(2)/25)*Calculateur!CG36*Calculateur!CI36*VLOOKUP('Données projet'!$B$12,Paramètres!$A$1:$I$89,3,0)*0.475*44/12</f>
        <v>0</v>
      </c>
      <c r="CM36" s="23">
        <f>EXP(-LN(2)/2)*CM35+(1-EXP(-LN(2)/2))/(LN(2)/2)*CG36*CJ36*VLOOKUP('Données projet'!$B$12,Paramètres!$A$1:$I$89,3,0)*0.475*44/12</f>
        <v>0</v>
      </c>
      <c r="CN36" s="24">
        <f t="shared" si="12"/>
        <v>0</v>
      </c>
      <c r="CO36" s="77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10.8</v>
      </c>
      <c r="CT36" s="13">
        <f>IF('Données projet'!$A$140&gt;35,CT35+CS36-DB35,IF(A36&lt;'Données projet'!$A$140,$CQ$205^A36,IF(A36='Données projet'!$A$140,'Données projet'!$B$140,CT35+CS36-DB35)))</f>
        <v>153.40000000000006</v>
      </c>
      <c r="CU36" s="18">
        <f>CT36*VLOOKUP('Données projet'!$B$13,Paramètres!$A$1:$I$89,3,0)*VLOOKUP('Données projet'!$B$13,Paramètres!$A$1:$I$89,5,0)</f>
        <v>165.11976000000004</v>
      </c>
      <c r="CV36" s="14">
        <f t="shared" si="41"/>
        <v>41.995166194425131</v>
      </c>
      <c r="CW36" s="22">
        <f t="shared" si="13"/>
        <v>360.72516312195717</v>
      </c>
      <c r="CX36" s="60">
        <f t="shared" si="14"/>
        <v>654.05849645529042</v>
      </c>
      <c r="CY36" s="60">
        <f ca="1">AVERAGE(OFFSET($CX$3,0,0,'Données projet'!$E$13+1,1))-AVERAGE(OFFSET($H$3,0,0,'Données projet'!$E$13+1,1))</f>
        <v>621.10465023992288</v>
      </c>
      <c r="CZ36" s="60">
        <f t="shared" si="42"/>
        <v>322.81767004794284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>
        <f>EXP(-LN(2)/35)*DF35+(1-EXP(-LN(2)/35))/(LN(2)/35)*DB36*DC36*VLOOKUP('Données projet'!$B$13,Paramètres!$A$1:$I$89,3,0)*0.475*44/12</f>
        <v>0</v>
      </c>
      <c r="DG36" s="23">
        <f>EXP(-LN(2)/25)*DG35+(1-EXP(-LN(2)/25))/(LN(2)/25)*Calculateur!DB36*Calculateur!DD36*VLOOKUP('Données projet'!$B$13,Paramètres!$A$1:$I$89,3,0)*0.475*44/12</f>
        <v>0</v>
      </c>
      <c r="DH36" s="23">
        <f>EXP(-LN(2)/2)*DH35+(1-EXP(-LN(2)/2))/(LN(2)/2)*DB36*DE36*VLOOKUP('Données projet'!$B$13,Paramètres!$A$1:$I$89,3,0)*0.475*44/12</f>
        <v>0</v>
      </c>
      <c r="DI36" s="24">
        <f t="shared" si="15"/>
        <v>0</v>
      </c>
      <c r="DJ36" s="77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10.8</v>
      </c>
      <c r="DO36" s="13">
        <f>IF('Données projet'!$A$166&gt;35,DO35+DN36-DW35,IF(A36&lt;'Données projet'!$A$166,$DL$205^A36,IF(A36='Données projet'!$A$166,'Données projet'!$B$166,DO35+DN36-DW35)))</f>
        <v>153.40000000000006</v>
      </c>
      <c r="DP36" s="18">
        <f>DO36*VLOOKUP('Données projet'!$B$14,Paramètres!$A$1:$I$89,3,0)*VLOOKUP('Données projet'!$B$14,Paramètres!$A$1:$I$89,5,0)</f>
        <v>148.36848000000006</v>
      </c>
      <c r="DQ36" s="14">
        <f t="shared" si="43"/>
        <v>38.207581183185937</v>
      </c>
      <c r="DR36" s="22">
        <f t="shared" si="16"/>
        <v>324.95330656071559</v>
      </c>
      <c r="DS36" s="60">
        <f t="shared" si="17"/>
        <v>618.2866398940489</v>
      </c>
      <c r="DT36" s="60">
        <f ca="1">AVERAGE(OFFSET($DS$3,0,0,'Données projet'!$E$14+1,1))-AVERAGE(OFFSET($H$3,0,0,'Données projet'!$E$14+1,1))</f>
        <v>562.69380557620775</v>
      </c>
      <c r="DU36" s="60">
        <f t="shared" si="44"/>
        <v>294.45557293177131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>
        <f>EXP(-LN(2)/35)*EA35+(1-EXP(-LN(2)/35))/(LN(2)/35)*DW36*DX36*VLOOKUP('Données projet'!$B$14,Paramètres!$A$1:$I$89,3,0)*0.475*44/12</f>
        <v>0</v>
      </c>
      <c r="EB36" s="23">
        <f>EXP(-LN(2)/25)*EB35+(1-EXP(-LN(2)/25))/(LN(2)/25)*Calculateur!DW36*Calculateur!DY36*VLOOKUP('Données projet'!$B$14,Paramètres!$A$1:$I$89,3,0)*0.475*44/12</f>
        <v>0</v>
      </c>
      <c r="EC36" s="23">
        <f>EXP(-LN(2)/2)*EC35+(1-EXP(-LN(2)/2))/(LN(2)/2)*DW36*DZ36*VLOOKUP('Données projet'!$B$14,Paramètres!$A$1:$I$89,3,0)*0.475*44/12</f>
        <v>0</v>
      </c>
      <c r="ED36" s="24">
        <f t="shared" si="18"/>
        <v>0</v>
      </c>
      <c r="EE36" s="77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11.5</v>
      </c>
      <c r="EJ36" s="13">
        <f>IF('Données projet'!$A$192&gt;35,EJ35+EI36-ER35,IF(A36&lt;'Données projet'!$A$192,$EG$205^A36,IF(A36='Données projet'!$A$192,'Données projet'!$B$192,EJ35+EI36-ER35)))</f>
        <v>141.99999999999997</v>
      </c>
      <c r="EK36" s="18">
        <f>EJ36*VLOOKUP('Données projet'!$B$15,Paramètres!$A$1:$I$89,3,0)*VLOOKUP('Données projet'!$B$15,Paramètres!$A$1:$I$89,5,0)</f>
        <v>110.75999999999998</v>
      </c>
      <c r="EL36" s="14">
        <f t="shared" si="45"/>
        <v>29.509974682362923</v>
      </c>
      <c r="EM36" s="22">
        <f t="shared" si="19"/>
        <v>244.30353923844871</v>
      </c>
      <c r="EN36" s="60">
        <f t="shared" si="20"/>
        <v>537.63687257178208</v>
      </c>
      <c r="EO36" s="60">
        <f ca="1">AVERAGE(OFFSET($EN$3,0,0,'Données projet'!$E$15+1,1))-AVERAGE(OFFSET($H$3,0,0,'Données projet'!$E$15+1,1))</f>
        <v>292.57482726862594</v>
      </c>
      <c r="EP36" s="60">
        <f t="shared" si="46"/>
        <v>283.48738729114024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>
        <f>EXP(-LN(2)/35)*EV35+(1-EXP(-LN(2)/35))/(LN(2)/35)*ER36*ES36*VLOOKUP('Données projet'!$B$15,Paramètres!$A$1:$I$89,3,0)*0.475*44/12</f>
        <v>0</v>
      </c>
      <c r="EW36" s="23">
        <f>EXP(-LN(2)/25)*EW35+(1-EXP(-LN(2)/25))/(LN(2)/25)*Calculateur!ER36*Calculateur!ET36*VLOOKUP('Données projet'!$B$15,Paramètres!$A$1:$I$89,3,0)*0.475*44/12</f>
        <v>0</v>
      </c>
      <c r="EX36" s="23">
        <f>EXP(-LN(2)/2)*EX35+(1-EXP(-LN(2)/2))/(LN(2)/2)*ER36*EU36*VLOOKUP('Données projet'!$B$15,Paramètres!$A$1:$I$89,3,0)*0.475*44/12</f>
        <v>0</v>
      </c>
      <c r="EY36" s="24">
        <f t="shared" si="21"/>
        <v>0</v>
      </c>
      <c r="EZ36" s="77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0" t="e">
        <f t="shared" si="23"/>
        <v>#N/A</v>
      </c>
      <c r="FJ36" s="60" t="e">
        <f ca="1">AVERAGE(OFFSET($FI$3,0,0,'Données projet'!$E$16+1,1))-AVERAGE(OFFSET($H$3,0,0,'Données projet'!$E$16+1,1))</f>
        <v>#N/A</v>
      </c>
      <c r="FK36" s="60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77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0" t="e">
        <f t="shared" si="26"/>
        <v>#N/A</v>
      </c>
      <c r="GE36" s="60" t="e">
        <f ca="1">AVERAGE(OFFSET($GD$3,0,0,'Données projet'!$E$17+1,1))-AVERAGE(OFFSET($H$3,0,0,'Données projet'!$E$17+1,1))</f>
        <v>#N/A</v>
      </c>
      <c r="GF36" s="60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77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0" t="e">
        <f t="shared" si="29"/>
        <v>#N/A</v>
      </c>
      <c r="GZ36" s="60" t="e">
        <f ca="1">AVERAGE(OFFSET($GY$3,0,0,'Données projet'!$E$18+1,1))-AVERAGE(OFFSET($H$3,0,0,'Données projet'!$E$18+1,1))</f>
        <v>#N/A</v>
      </c>
      <c r="HA36" s="60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25">
      <c r="A37" s="11">
        <f t="shared" si="31"/>
        <v>34</v>
      </c>
      <c r="B37" s="74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2">
        <f t="shared" si="32"/>
        <v>0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0</v>
      </c>
      <c r="H37" s="67">
        <f t="shared" si="1"/>
        <v>256.66666666666669</v>
      </c>
      <c r="I37" s="7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7.1794871794871824</v>
      </c>
      <c r="N37" s="14">
        <f>IF('Données projet'!$A$36&gt;35,N36+M37-V36,IF(A37&lt;'Données projet'!$A$36,$K$205^A37,IF(A37='Données projet'!$A$36,'Données projet'!$B$36,N36+M37-V36)))</f>
        <v>136.41025641025641</v>
      </c>
      <c r="O37" s="14">
        <f>N37*VLOOKUP('Données projet'!$B$9,Paramètres!$A$1:$I$89,3,0)*VLOOKUP('Données projet'!$B$9,Paramètres!$A$1:$I$89,5,0)</f>
        <v>129.80799999999999</v>
      </c>
      <c r="P37" s="14">
        <f t="shared" si="33"/>
        <v>33.951989953983613</v>
      </c>
      <c r="Q37" s="22">
        <f t="shared" si="53"/>
        <v>285.21531583652148</v>
      </c>
      <c r="R37" s="60">
        <f t="shared" si="0"/>
        <v>578.5486491698548</v>
      </c>
      <c r="S37" s="60">
        <f ca="1">AVERAGE(OFFSET($R$3,0,0,'Données projet'!$E$9+1,1))-AVERAGE(OFFSET($H$3,0,0,'Données projet'!$E$9+1,1))</f>
        <v>403.49781966317852</v>
      </c>
      <c r="T37" s="60">
        <f t="shared" si="34"/>
        <v>326.06674572505409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0</v>
      </c>
      <c r="AA37" s="23">
        <f>EXP(-LN(2)/25)*AA36+(1-EXP(-LN(2)/25))/(LN(2)/25)*Calculateur!V37*Calculateur!X37*VLOOKUP('Données projet'!$B$9,Paramètres!$A$1:$I$89,3,0)*0.475*44/12</f>
        <v>0</v>
      </c>
      <c r="AB37" s="23">
        <f>EXP(-LN(2)/2)*AB36+(1-EXP(-LN(2)/2))/(LN(2)/2)*V37*Y37*VLOOKUP('Données projet'!$B$9,Paramètres!$A$1:$I$89,3,0)*0.475*44/12</f>
        <v>0</v>
      </c>
      <c r="AC37" s="24">
        <f t="shared" si="3"/>
        <v>0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8.6</v>
      </c>
      <c r="AI37" s="14">
        <f>IF('Données projet'!$A$62&gt;35,AI36+AH37-AQ36,IF(A37&lt;'Données projet'!$A$62,$AF$205^A37,IF(A37='Données projet'!$A$62,'Données projet'!$B$62,AI36+AH37-AQ36)))</f>
        <v>148.39999999999998</v>
      </c>
      <c r="AJ37" s="14">
        <f>AI37*VLOOKUP('Données projet'!$B$10,Paramètres!$A$1:$I$89,3,0)*VLOOKUP('Données projet'!$B$10,Paramètres!$A$1:$I$89,5,0)</f>
        <v>129.64224000000002</v>
      </c>
      <c r="AK37" s="14">
        <f t="shared" si="35"/>
        <v>33.91367824625322</v>
      </c>
      <c r="AL37" s="22">
        <f t="shared" si="4"/>
        <v>284.85989094555777</v>
      </c>
      <c r="AM37" s="60">
        <f t="shared" si="5"/>
        <v>578.19322427889108</v>
      </c>
      <c r="AN37" s="60">
        <f ca="1">AVERAGE(OFFSET($AM$3,0,0,'Données projet'!$E$10+1,1))-AVERAGE(OFFSET($H$3,0,0,'Données projet'!$E$10+1,1))</f>
        <v>274.66236526869056</v>
      </c>
      <c r="AO37" s="60">
        <f t="shared" si="36"/>
        <v>256.90876395053073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>
        <f>EXP(-LN(2)/35)*AU36+(1-EXP(-LN(2)/35))/(LN(2)/35)*AQ37*AR37*VLOOKUP('Données projet'!$B$10,Paramètres!$A$1:$I$89,3,0)*0.475*44/12</f>
        <v>0</v>
      </c>
      <c r="AV37" s="23">
        <f>EXP(-LN(2)/25)*AV36+(1-EXP(-LN(2)/25))/(LN(2)/25)*Calculateur!AQ37*Calculateur!AS37*VLOOKUP('Données projet'!$B$10,Paramètres!$A$1:$I$89,3,0)*0.475*44/12</f>
        <v>0</v>
      </c>
      <c r="AW37" s="23">
        <f>EXP(-LN(2)/2)*AW36+(1-EXP(-LN(2)/2))/(LN(2)/2)*AQ37*AT37*VLOOKUP('Données projet'!$B$10,Paramètres!$A$1:$I$89,3,0)*0.475*44/12</f>
        <v>0</v>
      </c>
      <c r="AX37" s="23">
        <f t="shared" si="6"/>
        <v>0</v>
      </c>
      <c r="AY37" s="76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10.8</v>
      </c>
      <c r="BD37" s="13">
        <f>IF('Données projet'!$A$88&gt;35,BD36+BC37-BL36,IF(A37&lt;'Données projet'!$A$88,$BA$205^A37,IF(A37='Données projet'!$A$88,'Données projet'!$B$88,BD36+BC37-BL36)))</f>
        <v>164.20000000000007</v>
      </c>
      <c r="BE37" s="14">
        <f>BD37*VLOOKUP('Données projet'!$B$11,Paramètres!$A$1:$I$89,3,0)*VLOOKUP('Données projet'!$B$11,Paramètres!$A$1:$I$89,5,0)</f>
        <v>148.56816000000006</v>
      </c>
      <c r="BF37" s="14">
        <f t="shared" si="37"/>
        <v>38.253013425360628</v>
      </c>
      <c r="BG37" s="22">
        <f t="shared" si="7"/>
        <v>325.38021038250321</v>
      </c>
      <c r="BH37" s="60">
        <f t="shared" si="8"/>
        <v>618.71354371583652</v>
      </c>
      <c r="BI37" s="60">
        <f ca="1">AVERAGE(OFFSET($BH$3,0,0,'Données projet'!$E$11+1,1))-AVERAGE(OFFSET($H$3,0,0,'Données projet'!$E$11+1,1))</f>
        <v>529.25712986118265</v>
      </c>
      <c r="BJ37" s="60">
        <f t="shared" si="38"/>
        <v>278.21741231699929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>
        <f>EXP(-LN(2)/35)*BP36+(1-EXP(-LN(2)/35))/(LN(2)/35)*BL37*BM37*VLOOKUP('Données projet'!$B$11,Paramètres!$A$1:$I$89,3,0)*0.475*44/12</f>
        <v>0</v>
      </c>
      <c r="BQ37" s="23">
        <f>EXP(-LN(2)/25)*BQ36+(1-EXP(-LN(2)/25))/(LN(2)/25)*Calculateur!BL37*Calculateur!BN37*VLOOKUP('Données projet'!$B$11,Paramètres!$A$1:$I$89,3,0)*0.475*44/12</f>
        <v>0</v>
      </c>
      <c r="BR37" s="23">
        <f>EXP(-LN(2)/2)*BR36+(1-EXP(-LN(2)/2))/(LN(2)/2)*BL37*BO37*VLOOKUP('Données projet'!$B$11,Paramètres!$A$1:$I$89,3,0)*0.475*44/12</f>
        <v>0</v>
      </c>
      <c r="BS37" s="24">
        <f t="shared" si="9"/>
        <v>0</v>
      </c>
      <c r="BT37" s="77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10.8</v>
      </c>
      <c r="BY37" s="13">
        <f>IF('Données projet'!$A$114&gt;35,BY36+BX37-CG36,IF(A37&lt;'Données projet'!$A$114,$BV$205^A37,IF(A37='Données projet'!$A$114,'Données projet'!$B$114,BY36+BX37-CG36)))</f>
        <v>164.20000000000007</v>
      </c>
      <c r="BZ37" s="14">
        <f>BY37*VLOOKUP('Données projet'!$B$12,Paramètres!$A$1:$I$89,3,0)*VLOOKUP('Données projet'!$B$12,Paramètres!$A$1:$I$89,5,0)</f>
        <v>166.49880000000007</v>
      </c>
      <c r="CA37" s="14">
        <f t="shared" si="39"/>
        <v>42.304924050589179</v>
      </c>
      <c r="CB37" s="22">
        <f t="shared" si="10"/>
        <v>363.66648605477627</v>
      </c>
      <c r="CC37" s="60">
        <f t="shared" si="11"/>
        <v>656.99981938810959</v>
      </c>
      <c r="CD37" s="60">
        <f ca="1">AVERAGE(OFFSET($CC$3,0,0,'Données projet'!$E$12+1,1))-AVERAGE(OFFSET($H$3,0,0,'Données projet'!$E$12+1,1))</f>
        <v>587.74247372331615</v>
      </c>
      <c r="CE37" s="60">
        <f t="shared" si="40"/>
        <v>306.61893266146666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>
        <f>EXP(-LN(2)/35)*CK36+(1-EXP(-LN(2)/35))/(LN(2)/35)*CG37*CH37*VLOOKUP('Données projet'!$B$12,Paramètres!$A$1:$I$89,3,0)*0.475*44/12</f>
        <v>0</v>
      </c>
      <c r="CL37" s="23">
        <f>EXP(-LN(2)/25)*CL36+(1-EXP(-LN(2)/25))/(LN(2)/25)*Calculateur!CG37*Calculateur!CI37*VLOOKUP('Données projet'!$B$12,Paramètres!$A$1:$I$89,3,0)*0.475*44/12</f>
        <v>0</v>
      </c>
      <c r="CM37" s="23">
        <f>EXP(-LN(2)/2)*CM36+(1-EXP(-LN(2)/2))/(LN(2)/2)*CG37*CJ37*VLOOKUP('Données projet'!$B$12,Paramètres!$A$1:$I$89,3,0)*0.475*44/12</f>
        <v>0</v>
      </c>
      <c r="CN37" s="24">
        <f t="shared" si="12"/>
        <v>0</v>
      </c>
      <c r="CO37" s="77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10.8</v>
      </c>
      <c r="CT37" s="13">
        <f>IF('Données projet'!$A$140&gt;35,CT36+CS37-DB36,IF(A37&lt;'Données projet'!$A$140,$CQ$205^A37,IF(A37='Données projet'!$A$140,'Données projet'!$B$140,CT36+CS37-DB36)))</f>
        <v>164.20000000000007</v>
      </c>
      <c r="CU37" s="18">
        <f>CT37*VLOOKUP('Données projet'!$B$13,Paramètres!$A$1:$I$89,3,0)*VLOOKUP('Données projet'!$B$13,Paramètres!$A$1:$I$89,5,0)</f>
        <v>176.74488000000008</v>
      </c>
      <c r="CV37" s="14">
        <f t="shared" si="41"/>
        <v>44.597214542653063</v>
      </c>
      <c r="CW37" s="22">
        <f t="shared" si="13"/>
        <v>385.50414799512083</v>
      </c>
      <c r="CX37" s="60">
        <f t="shared" si="14"/>
        <v>678.83748132845415</v>
      </c>
      <c r="CY37" s="60">
        <f ca="1">AVERAGE(OFFSET($CX$3,0,0,'Données projet'!$E$13+1,1))-AVERAGE(OFFSET($H$3,0,0,'Données projet'!$E$13+1,1))</f>
        <v>621.10465023992288</v>
      </c>
      <c r="CZ37" s="60">
        <f t="shared" si="42"/>
        <v>322.81767004794284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>
        <f>EXP(-LN(2)/35)*DF36+(1-EXP(-LN(2)/35))/(LN(2)/35)*DB37*DC37*VLOOKUP('Données projet'!$B$13,Paramètres!$A$1:$I$89,3,0)*0.475*44/12</f>
        <v>0</v>
      </c>
      <c r="DG37" s="23">
        <f>EXP(-LN(2)/25)*DG36+(1-EXP(-LN(2)/25))/(LN(2)/25)*Calculateur!DB37*Calculateur!DD37*VLOOKUP('Données projet'!$B$13,Paramètres!$A$1:$I$89,3,0)*0.475*44/12</f>
        <v>0</v>
      </c>
      <c r="DH37" s="23">
        <f>EXP(-LN(2)/2)*DH36+(1-EXP(-LN(2)/2))/(LN(2)/2)*DB37*DE37*VLOOKUP('Données projet'!$B$13,Paramètres!$A$1:$I$89,3,0)*0.475*44/12</f>
        <v>0</v>
      </c>
      <c r="DI37" s="24">
        <f t="shared" si="15"/>
        <v>0</v>
      </c>
      <c r="DJ37" s="77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10.8</v>
      </c>
      <c r="DO37" s="13">
        <f>IF('Données projet'!$A$166&gt;35,DO36+DN37-DW36,IF(A37&lt;'Données projet'!$A$166,$DL$205^A37,IF(A37='Données projet'!$A$166,'Données projet'!$B$166,DO36+DN37-DW36)))</f>
        <v>164.20000000000007</v>
      </c>
      <c r="DP37" s="18">
        <f>DO37*VLOOKUP('Données projet'!$B$14,Paramètres!$A$1:$I$89,3,0)*VLOOKUP('Données projet'!$B$14,Paramètres!$A$1:$I$89,5,0)</f>
        <v>158.81424000000007</v>
      </c>
      <c r="DQ37" s="14">
        <f t="shared" si="43"/>
        <v>40.574948252224658</v>
      </c>
      <c r="DR37" s="22">
        <f t="shared" si="16"/>
        <v>347.26950287262474</v>
      </c>
      <c r="DS37" s="60">
        <f t="shared" si="17"/>
        <v>640.60283620595806</v>
      </c>
      <c r="DT37" s="60">
        <f ca="1">AVERAGE(OFFSET($DS$3,0,0,'Données projet'!$E$14+1,1))-AVERAGE(OFFSET($H$3,0,0,'Données projet'!$E$14+1,1))</f>
        <v>562.69380557620775</v>
      </c>
      <c r="DU37" s="60">
        <f t="shared" si="44"/>
        <v>294.45557293177131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>
        <f>EXP(-LN(2)/35)*EA36+(1-EXP(-LN(2)/35))/(LN(2)/35)*DW37*DX37*VLOOKUP('Données projet'!$B$14,Paramètres!$A$1:$I$89,3,0)*0.475*44/12</f>
        <v>0</v>
      </c>
      <c r="EB37" s="23">
        <f>EXP(-LN(2)/25)*EB36+(1-EXP(-LN(2)/25))/(LN(2)/25)*Calculateur!DW37*Calculateur!DY37*VLOOKUP('Données projet'!$B$14,Paramètres!$A$1:$I$89,3,0)*0.475*44/12</f>
        <v>0</v>
      </c>
      <c r="EC37" s="23">
        <f>EXP(-LN(2)/2)*EC36+(1-EXP(-LN(2)/2))/(LN(2)/2)*DW37*DZ37*VLOOKUP('Données projet'!$B$14,Paramètres!$A$1:$I$89,3,0)*0.475*44/12</f>
        <v>0</v>
      </c>
      <c r="ED37" s="24">
        <f t="shared" si="18"/>
        <v>0</v>
      </c>
      <c r="EE37" s="77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11.5</v>
      </c>
      <c r="EJ37" s="13">
        <f>IF('Données projet'!$A$192&gt;35,EJ36+EI37-ER36,IF(A37&lt;'Données projet'!$A$192,$EG$205^A37,IF(A37='Données projet'!$A$192,'Données projet'!$B$192,EJ36+EI37-ER36)))</f>
        <v>153.49999999999997</v>
      </c>
      <c r="EK37" s="18">
        <f>EJ37*VLOOKUP('Données projet'!$B$15,Paramètres!$A$1:$I$89,3,0)*VLOOKUP('Données projet'!$B$15,Paramètres!$A$1:$I$89,5,0)</f>
        <v>119.72999999999998</v>
      </c>
      <c r="EL37" s="14">
        <f t="shared" si="45"/>
        <v>31.612017974790529</v>
      </c>
      <c r="EM37" s="22">
        <f t="shared" si="19"/>
        <v>263.58734797276014</v>
      </c>
      <c r="EN37" s="60">
        <f t="shared" si="20"/>
        <v>556.92068130609346</v>
      </c>
      <c r="EO37" s="60">
        <f ca="1">AVERAGE(OFFSET($EN$3,0,0,'Données projet'!$E$15+1,1))-AVERAGE(OFFSET($H$3,0,0,'Données projet'!$E$15+1,1))</f>
        <v>292.57482726862594</v>
      </c>
      <c r="EP37" s="60">
        <f t="shared" si="46"/>
        <v>283.48738729114024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>
        <f>EXP(-LN(2)/35)*EV36+(1-EXP(-LN(2)/35))/(LN(2)/35)*ER37*ES37*VLOOKUP('Données projet'!$B$15,Paramètres!$A$1:$I$89,3,0)*0.475*44/12</f>
        <v>0</v>
      </c>
      <c r="EW37" s="23">
        <f>EXP(-LN(2)/25)*EW36+(1-EXP(-LN(2)/25))/(LN(2)/25)*Calculateur!ER37*Calculateur!ET37*VLOOKUP('Données projet'!$B$15,Paramètres!$A$1:$I$89,3,0)*0.475*44/12</f>
        <v>0</v>
      </c>
      <c r="EX37" s="23">
        <f>EXP(-LN(2)/2)*EX36+(1-EXP(-LN(2)/2))/(LN(2)/2)*ER37*EU37*VLOOKUP('Données projet'!$B$15,Paramètres!$A$1:$I$89,3,0)*0.475*44/12</f>
        <v>0</v>
      </c>
      <c r="EY37" s="24">
        <f t="shared" si="21"/>
        <v>0</v>
      </c>
      <c r="EZ37" s="77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0" t="e">
        <f t="shared" si="23"/>
        <v>#N/A</v>
      </c>
      <c r="FJ37" s="60" t="e">
        <f ca="1">AVERAGE(OFFSET($FI$3,0,0,'Données projet'!$E$16+1,1))-AVERAGE(OFFSET($H$3,0,0,'Données projet'!$E$16+1,1))</f>
        <v>#N/A</v>
      </c>
      <c r="FK37" s="60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77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0" t="e">
        <f t="shared" si="26"/>
        <v>#N/A</v>
      </c>
      <c r="GE37" s="60" t="e">
        <f ca="1">AVERAGE(OFFSET($GD$3,0,0,'Données projet'!$E$17+1,1))-AVERAGE(OFFSET($H$3,0,0,'Données projet'!$E$17+1,1))</f>
        <v>#N/A</v>
      </c>
      <c r="GF37" s="60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77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0" t="e">
        <f t="shared" si="29"/>
        <v>#N/A</v>
      </c>
      <c r="GZ37" s="60" t="e">
        <f ca="1">AVERAGE(OFFSET($GY$3,0,0,'Données projet'!$E$18+1,1))-AVERAGE(OFFSET($H$3,0,0,'Données projet'!$E$18+1,1))</f>
        <v>#N/A</v>
      </c>
      <c r="HA37" s="60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25">
      <c r="A38" s="11">
        <f t="shared" si="31"/>
        <v>35</v>
      </c>
      <c r="B38" s="74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2">
        <f t="shared" si="32"/>
        <v>0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0</v>
      </c>
      <c r="H38" s="67">
        <f t="shared" si="1"/>
        <v>256.66666666666669</v>
      </c>
      <c r="I38" s="7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>
        <f>VLOOKUP(A38,'Données projet'!$A$35:$I$55,2,0)</f>
        <v>143.58974358974359</v>
      </c>
      <c r="L38" s="13">
        <f>VLOOKUP(A38,'Données projet'!$A$35:$I$55,9,0)</f>
        <v>7.1794871794871824</v>
      </c>
      <c r="M38" s="13">
        <f t="array" ref="M38">INDEX(L:L,MIN(IF(ISNUMBER(L38:L234),ROW(L38:L234),"")))</f>
        <v>7.1794871794871824</v>
      </c>
      <c r="N38" s="14">
        <f>IF('Données projet'!$A$36&gt;35,N37+M38-V37,IF(A38&lt;'Données projet'!$A$36,$K$205^A38,IF(A38='Données projet'!$A$36,'Données projet'!$B$36,N37+M38-V37)))</f>
        <v>143.58974358974359</v>
      </c>
      <c r="O38" s="14">
        <f>N38*VLOOKUP('Données projet'!$B$9,Paramètres!$A$1:$I$89,3,0)*VLOOKUP('Données projet'!$B$9,Paramètres!$A$1:$I$89,5,0)</f>
        <v>136.64000000000001</v>
      </c>
      <c r="P38" s="14">
        <f t="shared" si="33"/>
        <v>35.526191794232275</v>
      </c>
      <c r="Q38" s="22">
        <f t="shared" si="53"/>
        <v>299.85611737495464</v>
      </c>
      <c r="R38" s="60">
        <f t="shared" si="0"/>
        <v>593.18945070828795</v>
      </c>
      <c r="S38" s="60">
        <f ca="1">AVERAGE(OFFSET($R$3,0,0,'Données projet'!$E$9+1,1))-AVERAGE(OFFSET($H$3,0,0,'Données projet'!$E$9+1,1))</f>
        <v>403.49781966317852</v>
      </c>
      <c r="T38" s="60">
        <f t="shared" si="34"/>
        <v>326.06674572505409</v>
      </c>
      <c r="U38" s="16">
        <f>IF(ISNA(VLOOKUP(A38,'Données projet'!$A$35:$I$55,3,0)),0,VLOOKUP(A38,'Données projet'!$A$35:$I$55,3,0))</f>
        <v>0</v>
      </c>
      <c r="V38" s="16">
        <f>IF(ISNA(VLOOKUP(A38,'Données projet'!$A$35:$I$55,4,0)),0,VLOOKUP(A38,'Données projet'!$A$35:$I$55,4,0))</f>
        <v>0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0</v>
      </c>
      <c r="AA38" s="23">
        <f>EXP(-LN(2)/25)*AA37+(1-EXP(-LN(2)/25))/(LN(2)/25)*Calculateur!V38*Calculateur!X38*VLOOKUP('Données projet'!$B$9,Paramètres!$A$1:$I$89,3,0)*0.475*44/12</f>
        <v>0</v>
      </c>
      <c r="AB38" s="23">
        <f>EXP(-LN(2)/2)*AB37+(1-EXP(-LN(2)/2))/(LN(2)/2)*V38*Y38*VLOOKUP('Données projet'!$B$9,Paramètres!$A$1:$I$89,3,0)*0.475*44/12</f>
        <v>0</v>
      </c>
      <c r="AC38" s="24">
        <f t="shared" si="3"/>
        <v>0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>
        <f>VLOOKUP(A38,'Données projet'!$A$61:$I$81,2,0)</f>
        <v>157</v>
      </c>
      <c r="AG38" s="13">
        <f>VLOOKUP(A38,'Données projet'!$A$61:$I$81,9,0)</f>
        <v>8.6</v>
      </c>
      <c r="AH38" s="13">
        <f t="array" ref="AH38">INDEX(AG:AG,MIN(IF(ISNUMBER(AG38:AG234),ROW(AG38:AG234),"")))</f>
        <v>8.6</v>
      </c>
      <c r="AI38" s="14">
        <f>IF('Données projet'!$A$62&gt;35,AI37+AH38-AQ37,IF(A38&lt;'Données projet'!$A$62,$AF$205^A38,IF(A38='Données projet'!$A$62,'Données projet'!$B$62,AI37+AH38-AQ37)))</f>
        <v>156.99999999999997</v>
      </c>
      <c r="AJ38" s="14">
        <f>AI38*VLOOKUP('Données projet'!$B$10,Paramètres!$A$1:$I$89,3,0)*VLOOKUP('Données projet'!$B$10,Paramètres!$A$1:$I$89,5,0)</f>
        <v>137.15519999999998</v>
      </c>
      <c r="AK38" s="14">
        <f t="shared" si="35"/>
        <v>35.644525151069693</v>
      </c>
      <c r="AL38" s="22">
        <f t="shared" si="4"/>
        <v>300.95952130477968</v>
      </c>
      <c r="AM38" s="60">
        <f t="shared" si="5"/>
        <v>594.292854638113</v>
      </c>
      <c r="AN38" s="60">
        <f ca="1">AVERAGE(OFFSET($AM$3,0,0,'Données projet'!$E$10+1,1))-AVERAGE(OFFSET($H$3,0,0,'Données projet'!$E$10+1,1))</f>
        <v>274.66236526869056</v>
      </c>
      <c r="AO38" s="60">
        <f t="shared" si="36"/>
        <v>256.90876395053073</v>
      </c>
      <c r="AP38" s="16">
        <f>IF(ISNA(VLOOKUP(A38,'Données projet'!$A$61:$I$81,3,0)),0,VLOOKUP(A38,'Données projet'!$A$61:$I$81,3,0))</f>
        <v>2</v>
      </c>
      <c r="AQ38" s="16">
        <f>IF(ISNA(VLOOKUP(A38,'Données projet'!$A$61:$I$81,4,0)),0,VLOOKUP(A38,'Données projet'!$A$61:$I$81,4,0))</f>
        <v>42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>
        <f>EXP(-LN(2)/35)*AU37+(1-EXP(-LN(2)/35))/(LN(2)/35)*AQ38*AR38*VLOOKUP('Données projet'!$B$10,Paramètres!$A$1:$I$89,3,0)*0.475*44/12</f>
        <v>0</v>
      </c>
      <c r="AV38" s="23">
        <f>EXP(-LN(2)/25)*AV37+(1-EXP(-LN(2)/25))/(LN(2)/25)*Calculateur!AQ38*Calculateur!AS38*VLOOKUP('Données projet'!$B$10,Paramètres!$A$1:$I$89,3,0)*0.475*44/12</f>
        <v>0</v>
      </c>
      <c r="AW38" s="23">
        <f>EXP(-LN(2)/2)*AW37+(1-EXP(-LN(2)/2))/(LN(2)/2)*AQ38*AT38*VLOOKUP('Données projet'!$B$10,Paramètres!$A$1:$I$89,3,0)*0.475*44/12</f>
        <v>0</v>
      </c>
      <c r="AX38" s="23">
        <f t="shared" si="6"/>
        <v>0</v>
      </c>
      <c r="AY38" s="76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>
        <f>VLOOKUP(A38,'Données projet'!$A$87:$I$107,2,0)</f>
        <v>175</v>
      </c>
      <c r="BB38" s="13">
        <f>VLOOKUP(A38,'Données projet'!$A$87:$I$107,9,0)</f>
        <v>10.8</v>
      </c>
      <c r="BC38" s="13">
        <f t="array" ref="BC38">INDEX(BB:BB,MIN(IF(ISNUMBER(BB38:BB234),ROW(BB38:BB234),"")))</f>
        <v>10.8</v>
      </c>
      <c r="BD38" s="13">
        <f>IF('Données projet'!$A$88&gt;35,BD37+BC38-BL37,IF(A38&lt;'Données projet'!$A$88,$BA$205^A38,IF(A38='Données projet'!$A$88,'Données projet'!$B$88,BD37+BC38-BL37)))</f>
        <v>175.00000000000009</v>
      </c>
      <c r="BE38" s="14">
        <f>BD38*VLOOKUP('Données projet'!$B$11,Paramètres!$A$1:$I$89,3,0)*VLOOKUP('Données projet'!$B$11,Paramètres!$A$1:$I$89,5,0)</f>
        <v>158.34000000000006</v>
      </c>
      <c r="BF38" s="14">
        <f t="shared" si="37"/>
        <v>40.467870812652819</v>
      </c>
      <c r="BG38" s="22">
        <f t="shared" si="7"/>
        <v>346.25704166537042</v>
      </c>
      <c r="BH38" s="60">
        <f t="shared" si="8"/>
        <v>639.59037499870374</v>
      </c>
      <c r="BI38" s="60">
        <f ca="1">AVERAGE(OFFSET($BH$3,0,0,'Données projet'!$E$11+1,1))-AVERAGE(OFFSET($H$3,0,0,'Données projet'!$E$11+1,1))</f>
        <v>529.25712986118265</v>
      </c>
      <c r="BJ38" s="60">
        <f t="shared" si="38"/>
        <v>278.21741231699929</v>
      </c>
      <c r="BK38" s="16">
        <f>IF(ISNA(VLOOKUP(A38,'Données projet'!$A$87:$I$107,3,0)),0,VLOOKUP(A38,'Données projet'!$A$87:$I$107,3,0))</f>
        <v>2</v>
      </c>
      <c r="BL38" s="16">
        <f>IF(ISNA(VLOOKUP(A38,'Données projet'!$A$87:$I$107,4,0)),0,VLOOKUP(A38,'Données projet'!$A$87:$I$107,4,0))</f>
        <v>56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>
        <f>EXP(-LN(2)/35)*BP37+(1-EXP(-LN(2)/35))/(LN(2)/35)*BL38*BM38*VLOOKUP('Données projet'!$B$11,Paramètres!$A$1:$I$89,3,0)*0.475*44/12</f>
        <v>0</v>
      </c>
      <c r="BQ38" s="23">
        <f>EXP(-LN(2)/25)*BQ37+(1-EXP(-LN(2)/25))/(LN(2)/25)*Calculateur!BL38*Calculateur!BN38*VLOOKUP('Données projet'!$B$11,Paramètres!$A$1:$I$89,3,0)*0.475*44/12</f>
        <v>0</v>
      </c>
      <c r="BR38" s="23">
        <f>EXP(-LN(2)/2)*BR37+(1-EXP(-LN(2)/2))/(LN(2)/2)*BL38*BO38*VLOOKUP('Données projet'!$B$11,Paramètres!$A$1:$I$89,3,0)*0.475*44/12</f>
        <v>0</v>
      </c>
      <c r="BS38" s="24">
        <f t="shared" si="9"/>
        <v>0</v>
      </c>
      <c r="BT38" s="77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>
        <f>VLOOKUP(A38,'Données projet'!$A$113:$I$133,2,0)</f>
        <v>175</v>
      </c>
      <c r="BW38" s="13">
        <f>VLOOKUP(A38,'Données projet'!$A$113:$I$133,9,0)</f>
        <v>10.8</v>
      </c>
      <c r="BX38" s="13">
        <f t="array" ref="BX38">INDEX(BW:BW,MIN(IF(ISNUMBER(BW38:BW234),ROW(BW38:BW234),"")))</f>
        <v>10.8</v>
      </c>
      <c r="BY38" s="13">
        <f>IF('Données projet'!$A$114&gt;35,BY37+BX38-CG37,IF(A38&lt;'Données projet'!$A$114,$BV$205^A38,IF(A38='Données projet'!$A$114,'Données projet'!$B$114,BY37+BX38-CG37)))</f>
        <v>175.00000000000009</v>
      </c>
      <c r="BZ38" s="14">
        <f>BY38*VLOOKUP('Données projet'!$B$12,Paramètres!$A$1:$I$89,3,0)*VLOOKUP('Données projet'!$B$12,Paramètres!$A$1:$I$89,5,0)</f>
        <v>177.4500000000001</v>
      </c>
      <c r="CA38" s="14">
        <f t="shared" si="39"/>
        <v>44.754387900936791</v>
      </c>
      <c r="CB38" s="22">
        <f t="shared" si="10"/>
        <v>387.00597559413177</v>
      </c>
      <c r="CC38" s="60">
        <f t="shared" si="11"/>
        <v>680.33930892746503</v>
      </c>
      <c r="CD38" s="60">
        <f ca="1">AVERAGE(OFFSET($CC$3,0,0,'Données projet'!$E$12+1,1))-AVERAGE(OFFSET($H$3,0,0,'Données projet'!$E$12+1,1))</f>
        <v>587.74247372331615</v>
      </c>
      <c r="CE38" s="60">
        <f t="shared" si="40"/>
        <v>306.61893266146666</v>
      </c>
      <c r="CF38" s="16">
        <f>IF(ISNA(VLOOKUP(A38,'Données projet'!$A$113:$I$133,3,0)),0,VLOOKUP(A38,'Données projet'!$A$113:$I$133,3,0))</f>
        <v>2</v>
      </c>
      <c r="CG38" s="16">
        <f>IF(ISNA(VLOOKUP(A38,'Données projet'!$A$113:$I$133,4,0)),0,VLOOKUP(A38,'Données projet'!$A$113:$I$133,4,0))</f>
        <v>56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>
        <f>EXP(-LN(2)/35)*CK37+(1-EXP(-LN(2)/35))/(LN(2)/35)*CG38*CH38*VLOOKUP('Données projet'!$B$12,Paramètres!$A$1:$I$89,3,0)*0.475*44/12</f>
        <v>0</v>
      </c>
      <c r="CL38" s="23">
        <f>EXP(-LN(2)/25)*CL37+(1-EXP(-LN(2)/25))/(LN(2)/25)*Calculateur!CG38*Calculateur!CI38*VLOOKUP('Données projet'!$B$12,Paramètres!$A$1:$I$89,3,0)*0.475*44/12</f>
        <v>0</v>
      </c>
      <c r="CM38" s="23">
        <f>EXP(-LN(2)/2)*CM37+(1-EXP(-LN(2)/2))/(LN(2)/2)*CG38*CJ38*VLOOKUP('Données projet'!$B$12,Paramètres!$A$1:$I$89,3,0)*0.475*44/12</f>
        <v>0</v>
      </c>
      <c r="CN38" s="24">
        <f t="shared" si="12"/>
        <v>0</v>
      </c>
      <c r="CO38" s="77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>
        <f>VLOOKUP(A38,'Données projet'!$A$139:$I$159,2,0)</f>
        <v>175</v>
      </c>
      <c r="CR38" s="13">
        <f>VLOOKUP(A38,'Données projet'!$A$139:$I$159,9,0)</f>
        <v>10.8</v>
      </c>
      <c r="CS38" s="13">
        <f t="array" ref="CS38">INDEX(CR:CR,MIN(IF(ISNUMBER(CR38:CR234),ROW(CR38:CR234),"")))</f>
        <v>10.8</v>
      </c>
      <c r="CT38" s="13">
        <f>IF('Données projet'!$A$140&gt;35,CT37+CS38-DB37,IF(A38&lt;'Données projet'!$A$140,$CQ$205^A38,IF(A38='Données projet'!$A$140,'Données projet'!$B$140,CT37+CS38-DB37)))</f>
        <v>175.00000000000009</v>
      </c>
      <c r="CU38" s="18">
        <f>CT38*VLOOKUP('Données projet'!$B$13,Paramètres!$A$1:$I$89,3,0)*VLOOKUP('Données projet'!$B$13,Paramètres!$A$1:$I$89,5,0)</f>
        <v>188.37000000000006</v>
      </c>
      <c r="CV38" s="14">
        <f t="shared" si="41"/>
        <v>47.179402486491298</v>
      </c>
      <c r="CW38" s="22">
        <f t="shared" si="13"/>
        <v>410.2485426639725</v>
      </c>
      <c r="CX38" s="60">
        <f t="shared" si="14"/>
        <v>703.58187599730581</v>
      </c>
      <c r="CY38" s="60">
        <f ca="1">AVERAGE(OFFSET($CX$3,0,0,'Données projet'!$E$13+1,1))-AVERAGE(OFFSET($H$3,0,0,'Données projet'!$E$13+1,1))</f>
        <v>621.10465023992288</v>
      </c>
      <c r="CZ38" s="60">
        <f t="shared" si="42"/>
        <v>322.81767004794284</v>
      </c>
      <c r="DA38" s="16">
        <f>IF(ISNA(VLOOKUP(A38,'Données projet'!$A$139:$I$159,3,0)),0,VLOOKUP(A38,'Données projet'!$A$139:$I$159,3,0))</f>
        <v>2</v>
      </c>
      <c r="DB38" s="16">
        <f>IF(ISNA(VLOOKUP(A38,'Données projet'!$A$139:$I$159,4,0)),0,VLOOKUP(A38,'Données projet'!$A$139:$I$159,4,0))</f>
        <v>56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>
        <f>EXP(-LN(2)/35)*DF37+(1-EXP(-LN(2)/35))/(LN(2)/35)*DB38*DC38*VLOOKUP('Données projet'!$B$13,Paramètres!$A$1:$I$89,3,0)*0.475*44/12</f>
        <v>0</v>
      </c>
      <c r="DG38" s="23">
        <f>EXP(-LN(2)/25)*DG37+(1-EXP(-LN(2)/25))/(LN(2)/25)*Calculateur!DB38*Calculateur!DD38*VLOOKUP('Données projet'!$B$13,Paramètres!$A$1:$I$89,3,0)*0.475*44/12</f>
        <v>0</v>
      </c>
      <c r="DH38" s="23">
        <f>EXP(-LN(2)/2)*DH37+(1-EXP(-LN(2)/2))/(LN(2)/2)*DB38*DE38*VLOOKUP('Données projet'!$B$13,Paramètres!$A$1:$I$89,3,0)*0.475*44/12</f>
        <v>0</v>
      </c>
      <c r="DI38" s="24">
        <f t="shared" si="15"/>
        <v>0</v>
      </c>
      <c r="DJ38" s="77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>
        <f>VLOOKUP(A38,'Données projet'!$A$165:$I$185,2,0)</f>
        <v>175</v>
      </c>
      <c r="DM38" s="13">
        <f>VLOOKUP(A38,'Données projet'!$A$165:$I$185,9,0)</f>
        <v>10.8</v>
      </c>
      <c r="DN38" s="13">
        <f t="array" ref="DN38">INDEX(DM:DM,MIN(IF(ISNUMBER(DM38:DM234),ROW(DM38:DM234),"")))</f>
        <v>10.8</v>
      </c>
      <c r="DO38" s="13">
        <f>IF('Données projet'!$A$166&gt;35,DO37+DN38-DW37,IF(A38&lt;'Données projet'!$A$166,$DL$205^A38,IF(A38='Données projet'!$A$166,'Données projet'!$B$166,DO37+DN38-DW37)))</f>
        <v>175.00000000000009</v>
      </c>
      <c r="DP38" s="18">
        <f>DO38*VLOOKUP('Données projet'!$B$14,Paramètres!$A$1:$I$89,3,0)*VLOOKUP('Données projet'!$B$14,Paramètres!$A$1:$I$89,5,0)</f>
        <v>169.2600000000001</v>
      </c>
      <c r="DQ38" s="14">
        <f t="shared" si="43"/>
        <v>42.924246146122314</v>
      </c>
      <c r="DR38" s="22">
        <f t="shared" si="16"/>
        <v>369.55422870449644</v>
      </c>
      <c r="DS38" s="60">
        <f t="shared" si="17"/>
        <v>662.88756203782975</v>
      </c>
      <c r="DT38" s="60">
        <f ca="1">AVERAGE(OFFSET($DS$3,0,0,'Données projet'!$E$14+1,1))-AVERAGE(OFFSET($H$3,0,0,'Données projet'!$E$14+1,1))</f>
        <v>562.69380557620775</v>
      </c>
      <c r="DU38" s="60">
        <f t="shared" si="44"/>
        <v>294.45557293177131</v>
      </c>
      <c r="DV38" s="16">
        <f>IF(ISNA(VLOOKUP(A38,'Données projet'!$A$165:$I$185,3,0)),0,VLOOKUP(A38,'Données projet'!$A$165:$I$185,3,0))</f>
        <v>2</v>
      </c>
      <c r="DW38" s="16">
        <f>IF(ISNA(VLOOKUP(A38,'Données projet'!$A$165:$I$185,4,0)),0,VLOOKUP(A38,'Données projet'!$A$165:$I$185,4,0))</f>
        <v>56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>
        <f>EXP(-LN(2)/35)*EA37+(1-EXP(-LN(2)/35))/(LN(2)/35)*DW38*DX38*VLOOKUP('Données projet'!$B$14,Paramètres!$A$1:$I$89,3,0)*0.475*44/12</f>
        <v>0</v>
      </c>
      <c r="EB38" s="23">
        <f>EXP(-LN(2)/25)*EB37+(1-EXP(-LN(2)/25))/(LN(2)/25)*Calculateur!DW38*Calculateur!DY38*VLOOKUP('Données projet'!$B$14,Paramètres!$A$1:$I$89,3,0)*0.475*44/12</f>
        <v>0</v>
      </c>
      <c r="EC38" s="23">
        <f>EXP(-LN(2)/2)*EC37+(1-EXP(-LN(2)/2))/(LN(2)/2)*DW38*DZ38*VLOOKUP('Données projet'!$B$14,Paramètres!$A$1:$I$89,3,0)*0.475*44/12</f>
        <v>0</v>
      </c>
      <c r="ED38" s="24">
        <f t="shared" si="18"/>
        <v>0</v>
      </c>
      <c r="EE38" s="77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11.5</v>
      </c>
      <c r="EJ38" s="13">
        <f>IF('Données projet'!$A$192&gt;35,EJ37+EI38-ER37,IF(A38&lt;'Données projet'!$A$192,$EG$205^A38,IF(A38='Données projet'!$A$192,'Données projet'!$B$192,EJ37+EI38-ER37)))</f>
        <v>164.99999999999997</v>
      </c>
      <c r="EK38" s="18">
        <f>EJ38*VLOOKUP('Données projet'!$B$15,Paramètres!$A$1:$I$89,3,0)*VLOOKUP('Données projet'!$B$15,Paramètres!$A$1:$I$89,5,0)</f>
        <v>128.69999999999999</v>
      </c>
      <c r="EL38" s="14">
        <f t="shared" si="45"/>
        <v>33.695792019186115</v>
      </c>
      <c r="EM38" s="22">
        <f t="shared" si="19"/>
        <v>282.83933776674911</v>
      </c>
      <c r="EN38" s="60">
        <f t="shared" si="20"/>
        <v>576.17267110008243</v>
      </c>
      <c r="EO38" s="60">
        <f ca="1">AVERAGE(OFFSET($EN$3,0,0,'Données projet'!$E$15+1,1))-AVERAGE(OFFSET($H$3,0,0,'Données projet'!$E$15+1,1))</f>
        <v>292.57482726862594</v>
      </c>
      <c r="EP38" s="60">
        <f t="shared" si="46"/>
        <v>283.48738729114024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>
        <f>EXP(-LN(2)/35)*EV37+(1-EXP(-LN(2)/35))/(LN(2)/35)*ER38*ES38*VLOOKUP('Données projet'!$B$15,Paramètres!$A$1:$I$89,3,0)*0.475*44/12</f>
        <v>0</v>
      </c>
      <c r="EW38" s="23">
        <f>EXP(-LN(2)/25)*EW37+(1-EXP(-LN(2)/25))/(LN(2)/25)*Calculateur!ER38*Calculateur!ET38*VLOOKUP('Données projet'!$B$15,Paramètres!$A$1:$I$89,3,0)*0.475*44/12</f>
        <v>0</v>
      </c>
      <c r="EX38" s="23">
        <f>EXP(-LN(2)/2)*EX37+(1-EXP(-LN(2)/2))/(LN(2)/2)*ER38*EU38*VLOOKUP('Données projet'!$B$15,Paramètres!$A$1:$I$89,3,0)*0.475*44/12</f>
        <v>0</v>
      </c>
      <c r="EY38" s="24">
        <f t="shared" si="21"/>
        <v>0</v>
      </c>
      <c r="EZ38" s="77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0" t="e">
        <f t="shared" si="23"/>
        <v>#N/A</v>
      </c>
      <c r="FJ38" s="60" t="e">
        <f ca="1">AVERAGE(OFFSET($FI$3,0,0,'Données projet'!$E$16+1,1))-AVERAGE(OFFSET($H$3,0,0,'Données projet'!$E$16+1,1))</f>
        <v>#N/A</v>
      </c>
      <c r="FK38" s="60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77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0" t="e">
        <f t="shared" si="26"/>
        <v>#N/A</v>
      </c>
      <c r="GE38" s="60" t="e">
        <f ca="1">AVERAGE(OFFSET($GD$3,0,0,'Données projet'!$E$17+1,1))-AVERAGE(OFFSET($H$3,0,0,'Données projet'!$E$17+1,1))</f>
        <v>#N/A</v>
      </c>
      <c r="GF38" s="60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77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0" t="e">
        <f t="shared" si="29"/>
        <v>#N/A</v>
      </c>
      <c r="GZ38" s="60" t="e">
        <f ca="1">AVERAGE(OFFSET($GY$3,0,0,'Données projet'!$E$18+1,1))-AVERAGE(OFFSET($H$3,0,0,'Données projet'!$E$18+1,1))</f>
        <v>#N/A</v>
      </c>
      <c r="HA38" s="60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25">
      <c r="A39" s="11">
        <f t="shared" si="31"/>
        <v>36</v>
      </c>
      <c r="B39" s="74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2">
        <f t="shared" si="32"/>
        <v>0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0</v>
      </c>
      <c r="H39" s="67">
        <f t="shared" si="1"/>
        <v>256.66666666666669</v>
      </c>
      <c r="I39" s="7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6.7948717948717956</v>
      </c>
      <c r="N39" s="14">
        <f>IF('Données projet'!$A$36&gt;35,N38+M39-V38,IF(A39&lt;'Données projet'!$A$36,$K$205^A39,IF(A39='Données projet'!$A$36,'Données projet'!$B$36,N38+M39-V38)))</f>
        <v>150.38461538461539</v>
      </c>
      <c r="O39" s="14">
        <f>N39*VLOOKUP('Données projet'!$B$9,Paramètres!$A$1:$I$89,3,0)*VLOOKUP('Données projet'!$B$9,Paramètres!$A$1:$I$89,5,0)</f>
        <v>143.10599999999999</v>
      </c>
      <c r="P39" s="14">
        <f t="shared" si="33"/>
        <v>37.007635228701105</v>
      </c>
      <c r="Q39" s="22">
        <f t="shared" si="53"/>
        <v>313.69791468998773</v>
      </c>
      <c r="R39" s="60">
        <f t="shared" si="0"/>
        <v>607.03124802332104</v>
      </c>
      <c r="S39" s="60">
        <f ca="1">AVERAGE(OFFSET($R$3,0,0,'Données projet'!$E$9+1,1))-AVERAGE(OFFSET($H$3,0,0,'Données projet'!$E$9+1,1))</f>
        <v>403.49781966317852</v>
      </c>
      <c r="T39" s="60">
        <f t="shared" si="34"/>
        <v>326.06674572505409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0</v>
      </c>
      <c r="AA39" s="23">
        <f>EXP(-LN(2)/25)*AA38+(1-EXP(-LN(2)/25))/(LN(2)/25)*Calculateur!V39*Calculateur!X39*VLOOKUP('Données projet'!$B$9,Paramètres!$A$1:$I$89,3,0)*0.475*44/12</f>
        <v>0</v>
      </c>
      <c r="AB39" s="23">
        <f>EXP(-LN(2)/2)*AB38+(1-EXP(-LN(2)/2))/(LN(2)/2)*V39*Y39*VLOOKUP('Données projet'!$B$9,Paramètres!$A$1:$I$89,3,0)*0.475*44/12</f>
        <v>0</v>
      </c>
      <c r="AC39" s="24">
        <f t="shared" si="3"/>
        <v>0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7.6</v>
      </c>
      <c r="AI39" s="14">
        <f>IF('Données projet'!$A$62&gt;35,AI38+AH39-AQ38,IF(A39&lt;'Données projet'!$A$62,$AF$205^A39,IF(A39='Données projet'!$A$62,'Données projet'!$B$62,AI38+AH39-AQ38)))</f>
        <v>122.59999999999997</v>
      </c>
      <c r="AJ39" s="14">
        <f>AI39*VLOOKUP('Données projet'!$B$10,Paramètres!$A$1:$I$89,3,0)*VLOOKUP('Données projet'!$B$10,Paramètres!$A$1:$I$89,5,0)</f>
        <v>107.10336</v>
      </c>
      <c r="AK39" s="14">
        <f t="shared" si="35"/>
        <v>28.647457255358184</v>
      </c>
      <c r="AL39" s="22">
        <f t="shared" si="4"/>
        <v>236.43267338641553</v>
      </c>
      <c r="AM39" s="60">
        <f t="shared" si="5"/>
        <v>529.76600671974882</v>
      </c>
      <c r="AN39" s="60">
        <f ca="1">AVERAGE(OFFSET($AM$3,0,0,'Données projet'!$E$10+1,1))-AVERAGE(OFFSET($H$3,0,0,'Données projet'!$E$10+1,1))</f>
        <v>274.66236526869056</v>
      </c>
      <c r="AO39" s="60">
        <f t="shared" si="36"/>
        <v>256.90876395053073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>
        <f>EXP(-LN(2)/35)*AU38+(1-EXP(-LN(2)/35))/(LN(2)/35)*AQ39*AR39*VLOOKUP('Données projet'!$B$10,Paramètres!$A$1:$I$89,3,0)*0.475*44/12</f>
        <v>0</v>
      </c>
      <c r="AV39" s="23">
        <f>EXP(-LN(2)/25)*AV38+(1-EXP(-LN(2)/25))/(LN(2)/25)*Calculateur!AQ39*Calculateur!AS39*VLOOKUP('Données projet'!$B$10,Paramètres!$A$1:$I$89,3,0)*0.475*44/12</f>
        <v>0</v>
      </c>
      <c r="AW39" s="23">
        <f>EXP(-LN(2)/2)*AW38+(1-EXP(-LN(2)/2))/(LN(2)/2)*AQ39*AT39*VLOOKUP('Données projet'!$B$10,Paramètres!$A$1:$I$89,3,0)*0.475*44/12</f>
        <v>0</v>
      </c>
      <c r="AX39" s="23">
        <f t="shared" si="6"/>
        <v>0</v>
      </c>
      <c r="AY39" s="76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11.2</v>
      </c>
      <c r="BD39" s="13">
        <f>IF('Données projet'!$A$88&gt;35,BD38+BC39-BL38,IF(A39&lt;'Données projet'!$A$88,$BA$205^A39,IF(A39='Données projet'!$A$88,'Données projet'!$B$88,BD38+BC39-BL38)))</f>
        <v>130.20000000000007</v>
      </c>
      <c r="BE39" s="14">
        <f>BD39*VLOOKUP('Données projet'!$B$11,Paramètres!$A$1:$I$89,3,0)*VLOOKUP('Données projet'!$B$11,Paramètres!$A$1:$I$89,5,0)</f>
        <v>117.80496000000005</v>
      </c>
      <c r="BF39" s="14">
        <f t="shared" si="37"/>
        <v>31.162493487829593</v>
      </c>
      <c r="BG39" s="22">
        <f t="shared" si="7"/>
        <v>259.45164815796994</v>
      </c>
      <c r="BH39" s="60">
        <f t="shared" si="8"/>
        <v>552.78498149130326</v>
      </c>
      <c r="BI39" s="60">
        <f ca="1">AVERAGE(OFFSET($BH$3,0,0,'Données projet'!$E$11+1,1))-AVERAGE(OFFSET($H$3,0,0,'Données projet'!$E$11+1,1))</f>
        <v>529.25712986118265</v>
      </c>
      <c r="BJ39" s="60">
        <f t="shared" si="38"/>
        <v>278.21741231699929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>
        <f>EXP(-LN(2)/35)*BP38+(1-EXP(-LN(2)/35))/(LN(2)/35)*BL39*BM39*VLOOKUP('Données projet'!$B$11,Paramètres!$A$1:$I$89,3,0)*0.475*44/12</f>
        <v>0</v>
      </c>
      <c r="BQ39" s="23">
        <f>EXP(-LN(2)/25)*BQ38+(1-EXP(-LN(2)/25))/(LN(2)/25)*Calculateur!BL39*Calculateur!BN39*VLOOKUP('Données projet'!$B$11,Paramètres!$A$1:$I$89,3,0)*0.475*44/12</f>
        <v>0</v>
      </c>
      <c r="BR39" s="23">
        <f>EXP(-LN(2)/2)*BR38+(1-EXP(-LN(2)/2))/(LN(2)/2)*BL39*BO39*VLOOKUP('Données projet'!$B$11,Paramètres!$A$1:$I$89,3,0)*0.475*44/12</f>
        <v>0</v>
      </c>
      <c r="BS39" s="24">
        <f t="shared" si="9"/>
        <v>0</v>
      </c>
      <c r="BT39" s="77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11.2</v>
      </c>
      <c r="BY39" s="13">
        <f>IF('Données projet'!$A$114&gt;35,BY38+BX39-CG38,IF(A39&lt;'Données projet'!$A$114,$BV$205^A39,IF(A39='Données projet'!$A$114,'Données projet'!$B$114,BY38+BX39-CG38)))</f>
        <v>130.20000000000007</v>
      </c>
      <c r="BZ39" s="14">
        <f>BY39*VLOOKUP('Données projet'!$B$12,Paramètres!$A$1:$I$89,3,0)*VLOOKUP('Données projet'!$B$12,Paramètres!$A$1:$I$89,5,0)</f>
        <v>132.02280000000007</v>
      </c>
      <c r="CA39" s="14">
        <f t="shared" si="39"/>
        <v>34.463348169992798</v>
      </c>
      <c r="CB39" s="22">
        <f t="shared" si="10"/>
        <v>289.96337472940422</v>
      </c>
      <c r="CC39" s="60">
        <f t="shared" si="11"/>
        <v>583.29670806273748</v>
      </c>
      <c r="CD39" s="60">
        <f ca="1">AVERAGE(OFFSET($CC$3,0,0,'Données projet'!$E$12+1,1))-AVERAGE(OFFSET($H$3,0,0,'Données projet'!$E$12+1,1))</f>
        <v>587.74247372331615</v>
      </c>
      <c r="CE39" s="60">
        <f t="shared" si="40"/>
        <v>306.61893266146666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>
        <f>EXP(-LN(2)/35)*CK38+(1-EXP(-LN(2)/35))/(LN(2)/35)*CG39*CH39*VLOOKUP('Données projet'!$B$12,Paramètres!$A$1:$I$89,3,0)*0.475*44/12</f>
        <v>0</v>
      </c>
      <c r="CL39" s="23">
        <f>EXP(-LN(2)/25)*CL38+(1-EXP(-LN(2)/25))/(LN(2)/25)*Calculateur!CG39*Calculateur!CI39*VLOOKUP('Données projet'!$B$12,Paramètres!$A$1:$I$89,3,0)*0.475*44/12</f>
        <v>0</v>
      </c>
      <c r="CM39" s="23">
        <f>EXP(-LN(2)/2)*CM38+(1-EXP(-LN(2)/2))/(LN(2)/2)*CG39*CJ39*VLOOKUP('Données projet'!$B$12,Paramètres!$A$1:$I$89,3,0)*0.475*44/12</f>
        <v>0</v>
      </c>
      <c r="CN39" s="24">
        <f t="shared" si="12"/>
        <v>0</v>
      </c>
      <c r="CO39" s="77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11.2</v>
      </c>
      <c r="CT39" s="13">
        <f>IF('Données projet'!$A$140&gt;35,CT38+CS39-DB38,IF(A39&lt;'Données projet'!$A$140,$CQ$205^A39,IF(A39='Données projet'!$A$140,'Données projet'!$B$140,CT38+CS39-DB38)))</f>
        <v>130.20000000000007</v>
      </c>
      <c r="CU39" s="18">
        <f>CT39*VLOOKUP('Données projet'!$B$13,Paramètres!$A$1:$I$89,3,0)*VLOOKUP('Données projet'!$B$13,Paramètres!$A$1:$I$89,5,0)</f>
        <v>140.14728000000008</v>
      </c>
      <c r="CV39" s="14">
        <f t="shared" si="41"/>
        <v>36.330743209877284</v>
      </c>
      <c r="CW39" s="22">
        <f t="shared" si="13"/>
        <v>307.36589042386976</v>
      </c>
      <c r="CX39" s="60">
        <f t="shared" si="14"/>
        <v>600.69922375720307</v>
      </c>
      <c r="CY39" s="60">
        <f ca="1">AVERAGE(OFFSET($CX$3,0,0,'Données projet'!$E$13+1,1))-AVERAGE(OFFSET($H$3,0,0,'Données projet'!$E$13+1,1))</f>
        <v>621.10465023992288</v>
      </c>
      <c r="CZ39" s="60">
        <f t="shared" si="42"/>
        <v>322.81767004794284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>
        <f>EXP(-LN(2)/35)*DF38+(1-EXP(-LN(2)/35))/(LN(2)/35)*DB39*DC39*VLOOKUP('Données projet'!$B$13,Paramètres!$A$1:$I$89,3,0)*0.475*44/12</f>
        <v>0</v>
      </c>
      <c r="DG39" s="23">
        <f>EXP(-LN(2)/25)*DG38+(1-EXP(-LN(2)/25))/(LN(2)/25)*Calculateur!DB39*Calculateur!DD39*VLOOKUP('Données projet'!$B$13,Paramètres!$A$1:$I$89,3,0)*0.475*44/12</f>
        <v>0</v>
      </c>
      <c r="DH39" s="23">
        <f>EXP(-LN(2)/2)*DH38+(1-EXP(-LN(2)/2))/(LN(2)/2)*DB39*DE39*VLOOKUP('Données projet'!$B$13,Paramètres!$A$1:$I$89,3,0)*0.475*44/12</f>
        <v>0</v>
      </c>
      <c r="DI39" s="24">
        <f t="shared" si="15"/>
        <v>0</v>
      </c>
      <c r="DJ39" s="77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11.2</v>
      </c>
      <c r="DO39" s="13">
        <f>IF('Données projet'!$A$166&gt;35,DO38+DN39-DW38,IF(A39&lt;'Données projet'!$A$166,$DL$205^A39,IF(A39='Données projet'!$A$166,'Données projet'!$B$166,DO38+DN39-DW38)))</f>
        <v>130.20000000000007</v>
      </c>
      <c r="DP39" s="18">
        <f>DO39*VLOOKUP('Données projet'!$B$14,Paramètres!$A$1:$I$89,3,0)*VLOOKUP('Données projet'!$B$14,Paramètres!$A$1:$I$89,5,0)</f>
        <v>125.92944000000007</v>
      </c>
      <c r="DQ39" s="14">
        <f t="shared" si="43"/>
        <v>33.054038034052077</v>
      </c>
      <c r="DR39" s="22">
        <f t="shared" si="16"/>
        <v>276.89622424264081</v>
      </c>
      <c r="DS39" s="60">
        <f t="shared" si="17"/>
        <v>570.22955757597413</v>
      </c>
      <c r="DT39" s="60">
        <f ca="1">AVERAGE(OFFSET($DS$3,0,0,'Données projet'!$E$14+1,1))-AVERAGE(OFFSET($H$3,0,0,'Données projet'!$E$14+1,1))</f>
        <v>562.69380557620775</v>
      </c>
      <c r="DU39" s="60">
        <f t="shared" si="44"/>
        <v>294.45557293177131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>
        <f>EXP(-LN(2)/35)*EA38+(1-EXP(-LN(2)/35))/(LN(2)/35)*DW39*DX39*VLOOKUP('Données projet'!$B$14,Paramètres!$A$1:$I$89,3,0)*0.475*44/12</f>
        <v>0</v>
      </c>
      <c r="EB39" s="23">
        <f>EXP(-LN(2)/25)*EB38+(1-EXP(-LN(2)/25))/(LN(2)/25)*Calculateur!DW39*Calculateur!DY39*VLOOKUP('Données projet'!$B$14,Paramètres!$A$1:$I$89,3,0)*0.475*44/12</f>
        <v>0</v>
      </c>
      <c r="EC39" s="23">
        <f>EXP(-LN(2)/2)*EC38+(1-EXP(-LN(2)/2))/(LN(2)/2)*DW39*DZ39*VLOOKUP('Données projet'!$B$14,Paramètres!$A$1:$I$89,3,0)*0.475*44/12</f>
        <v>0</v>
      </c>
      <c r="ED39" s="24">
        <f t="shared" si="18"/>
        <v>0</v>
      </c>
      <c r="EE39" s="77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11.5</v>
      </c>
      <c r="EJ39" s="13">
        <f>IF('Données projet'!$A$192&gt;35,EJ38+EI39-ER38,IF(A39&lt;'Données projet'!$A$192,$EG$205^A39,IF(A39='Données projet'!$A$192,'Données projet'!$B$192,EJ38+EI39-ER38)))</f>
        <v>176.49999999999997</v>
      </c>
      <c r="EK39" s="18">
        <f>EJ39*VLOOKUP('Données projet'!$B$15,Paramètres!$A$1:$I$89,3,0)*VLOOKUP('Données projet'!$B$15,Paramètres!$A$1:$I$89,5,0)</f>
        <v>137.66999999999999</v>
      </c>
      <c r="EL39" s="14">
        <f t="shared" si="45"/>
        <v>35.762714965854656</v>
      </c>
      <c r="EM39" s="22">
        <f t="shared" si="19"/>
        <v>302.06197856553018</v>
      </c>
      <c r="EN39" s="60">
        <f t="shared" si="20"/>
        <v>595.3953118988635</v>
      </c>
      <c r="EO39" s="60">
        <f ca="1">AVERAGE(OFFSET($EN$3,0,0,'Données projet'!$E$15+1,1))-AVERAGE(OFFSET($H$3,0,0,'Données projet'!$E$15+1,1))</f>
        <v>292.57482726862594</v>
      </c>
      <c r="EP39" s="60">
        <f t="shared" si="46"/>
        <v>283.48738729114024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>
        <f>EXP(-LN(2)/35)*EV38+(1-EXP(-LN(2)/35))/(LN(2)/35)*ER39*ES39*VLOOKUP('Données projet'!$B$15,Paramètres!$A$1:$I$89,3,0)*0.475*44/12</f>
        <v>0</v>
      </c>
      <c r="EW39" s="23">
        <f>EXP(-LN(2)/25)*EW38+(1-EXP(-LN(2)/25))/(LN(2)/25)*Calculateur!ER39*Calculateur!ET39*VLOOKUP('Données projet'!$B$15,Paramètres!$A$1:$I$89,3,0)*0.475*44/12</f>
        <v>0</v>
      </c>
      <c r="EX39" s="23">
        <f>EXP(-LN(2)/2)*EX38+(1-EXP(-LN(2)/2))/(LN(2)/2)*ER39*EU39*VLOOKUP('Données projet'!$B$15,Paramètres!$A$1:$I$89,3,0)*0.475*44/12</f>
        <v>0</v>
      </c>
      <c r="EY39" s="24">
        <f t="shared" si="21"/>
        <v>0</v>
      </c>
      <c r="EZ39" s="77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0" t="e">
        <f t="shared" si="23"/>
        <v>#N/A</v>
      </c>
      <c r="FJ39" s="60" t="e">
        <f ca="1">AVERAGE(OFFSET($FI$3,0,0,'Données projet'!$E$16+1,1))-AVERAGE(OFFSET($H$3,0,0,'Données projet'!$E$16+1,1))</f>
        <v>#N/A</v>
      </c>
      <c r="FK39" s="60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77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0" t="e">
        <f t="shared" si="26"/>
        <v>#N/A</v>
      </c>
      <c r="GE39" s="60" t="e">
        <f ca="1">AVERAGE(OFFSET($GD$3,0,0,'Données projet'!$E$17+1,1))-AVERAGE(OFFSET($H$3,0,0,'Données projet'!$E$17+1,1))</f>
        <v>#N/A</v>
      </c>
      <c r="GF39" s="60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77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0" t="e">
        <f t="shared" si="29"/>
        <v>#N/A</v>
      </c>
      <c r="GZ39" s="60" t="e">
        <f ca="1">AVERAGE(OFFSET($GY$3,0,0,'Données projet'!$E$18+1,1))-AVERAGE(OFFSET($H$3,0,0,'Données projet'!$E$18+1,1))</f>
        <v>#N/A</v>
      </c>
      <c r="HA39" s="60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25">
      <c r="A40" s="11">
        <f t="shared" si="31"/>
        <v>37</v>
      </c>
      <c r="B40" s="74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2">
        <f t="shared" si="32"/>
        <v>0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0</v>
      </c>
      <c r="H40" s="67">
        <f t="shared" si="1"/>
        <v>256.66666666666669</v>
      </c>
      <c r="I40" s="7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6.7948717948717956</v>
      </c>
      <c r="N40" s="14">
        <f>IF('Données projet'!$A$36&gt;35,N39+M40-V39,IF(A40&lt;'Données projet'!$A$36,$K$205^A40,IF(A40='Données projet'!$A$36,'Données projet'!$B$36,N39+M40-V39)))</f>
        <v>157.17948717948718</v>
      </c>
      <c r="O40" s="14">
        <f>N40*VLOOKUP('Données projet'!$B$9,Paramètres!$A$1:$I$89,3,0)*VLOOKUP('Données projet'!$B$9,Paramètres!$A$1:$I$89,5,0)</f>
        <v>149.572</v>
      </c>
      <c r="P40" s="14">
        <f t="shared" si="33"/>
        <v>38.481304915719448</v>
      </c>
      <c r="Q40" s="22">
        <f t="shared" si="53"/>
        <v>327.52617272821135</v>
      </c>
      <c r="R40" s="60">
        <f t="shared" si="0"/>
        <v>620.85950606154461</v>
      </c>
      <c r="S40" s="60">
        <f ca="1">AVERAGE(OFFSET($R$3,0,0,'Données projet'!$E$9+1,1))-AVERAGE(OFFSET($H$3,0,0,'Données projet'!$E$9+1,1))</f>
        <v>403.49781966317852</v>
      </c>
      <c r="T40" s="60">
        <f t="shared" si="34"/>
        <v>326.06674572505409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0</v>
      </c>
      <c r="AA40" s="23">
        <f>EXP(-LN(2)/25)*AA39+(1-EXP(-LN(2)/25))/(LN(2)/25)*Calculateur!V40*Calculateur!X40*VLOOKUP('Données projet'!$B$9,Paramètres!$A$1:$I$89,3,0)*0.475*44/12</f>
        <v>0</v>
      </c>
      <c r="AB40" s="23">
        <f>EXP(-LN(2)/2)*AB39+(1-EXP(-LN(2)/2))/(LN(2)/2)*V40*Y40*VLOOKUP('Données projet'!$B$9,Paramètres!$A$1:$I$89,3,0)*0.475*44/12</f>
        <v>0</v>
      </c>
      <c r="AC40" s="24">
        <f t="shared" si="3"/>
        <v>0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7.6</v>
      </c>
      <c r="AI40" s="14">
        <f>IF('Données projet'!$A$62&gt;35,AI39+AH40-AQ39,IF(A40&lt;'Données projet'!$A$62,$AF$205^A40,IF(A40='Données projet'!$A$62,'Données projet'!$B$62,AI39+AH40-AQ39)))</f>
        <v>130.19999999999996</v>
      </c>
      <c r="AJ40" s="14">
        <f>AI40*VLOOKUP('Données projet'!$B$10,Paramètres!$A$1:$I$89,3,0)*VLOOKUP('Données projet'!$B$10,Paramètres!$A$1:$I$89,5,0)</f>
        <v>113.74271999999996</v>
      </c>
      <c r="AK40" s="14">
        <f t="shared" si="35"/>
        <v>30.211074114233345</v>
      </c>
      <c r="AL40" s="22">
        <f t="shared" si="4"/>
        <v>250.71952474895636</v>
      </c>
      <c r="AM40" s="60">
        <f t="shared" si="5"/>
        <v>544.05285808228973</v>
      </c>
      <c r="AN40" s="60">
        <f ca="1">AVERAGE(OFFSET($AM$3,0,0,'Données projet'!$E$10+1,1))-AVERAGE(OFFSET($H$3,0,0,'Données projet'!$E$10+1,1))</f>
        <v>274.66236526869056</v>
      </c>
      <c r="AO40" s="60">
        <f t="shared" si="36"/>
        <v>256.90876395053073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>
        <f>EXP(-LN(2)/35)*AU39+(1-EXP(-LN(2)/35))/(LN(2)/35)*AQ40*AR40*VLOOKUP('Données projet'!$B$10,Paramètres!$A$1:$I$89,3,0)*0.475*44/12</f>
        <v>0</v>
      </c>
      <c r="AV40" s="23">
        <f>EXP(-LN(2)/25)*AV39+(1-EXP(-LN(2)/25))/(LN(2)/25)*Calculateur!AQ40*Calculateur!AS40*VLOOKUP('Données projet'!$B$10,Paramètres!$A$1:$I$89,3,0)*0.475*44/12</f>
        <v>0</v>
      </c>
      <c r="AW40" s="23">
        <f>EXP(-LN(2)/2)*AW39+(1-EXP(-LN(2)/2))/(LN(2)/2)*AQ40*AT40*VLOOKUP('Données projet'!$B$10,Paramètres!$A$1:$I$89,3,0)*0.475*44/12</f>
        <v>0</v>
      </c>
      <c r="AX40" s="23">
        <f t="shared" si="6"/>
        <v>0</v>
      </c>
      <c r="AY40" s="76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11.2</v>
      </c>
      <c r="BD40" s="13">
        <f>IF('Données projet'!$A$88&gt;35,BD39+BC40-BL39,IF(A40&lt;'Données projet'!$A$88,$BA$205^A40,IF(A40='Données projet'!$A$88,'Données projet'!$B$88,BD39+BC40-BL39)))</f>
        <v>141.40000000000006</v>
      </c>
      <c r="BE40" s="14">
        <f>BD40*VLOOKUP('Données projet'!$B$11,Paramètres!$A$1:$I$89,3,0)*VLOOKUP('Données projet'!$B$11,Paramètres!$A$1:$I$89,5,0)</f>
        <v>127.93872000000005</v>
      </c>
      <c r="BF40" s="14">
        <f t="shared" si="37"/>
        <v>33.519615889545641</v>
      </c>
      <c r="BG40" s="22">
        <f t="shared" si="7"/>
        <v>281.20660167429202</v>
      </c>
      <c r="BH40" s="60">
        <f t="shared" si="8"/>
        <v>574.53993500762533</v>
      </c>
      <c r="BI40" s="60">
        <f ca="1">AVERAGE(OFFSET($BH$3,0,0,'Données projet'!$E$11+1,1))-AVERAGE(OFFSET($H$3,0,0,'Données projet'!$E$11+1,1))</f>
        <v>529.25712986118265</v>
      </c>
      <c r="BJ40" s="60">
        <f t="shared" si="38"/>
        <v>278.21741231699929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>
        <f>EXP(-LN(2)/35)*BP39+(1-EXP(-LN(2)/35))/(LN(2)/35)*BL40*BM40*VLOOKUP('Données projet'!$B$11,Paramètres!$A$1:$I$89,3,0)*0.475*44/12</f>
        <v>0</v>
      </c>
      <c r="BQ40" s="23">
        <f>EXP(-LN(2)/25)*BQ39+(1-EXP(-LN(2)/25))/(LN(2)/25)*Calculateur!BL40*Calculateur!BN40*VLOOKUP('Données projet'!$B$11,Paramètres!$A$1:$I$89,3,0)*0.475*44/12</f>
        <v>0</v>
      </c>
      <c r="BR40" s="23">
        <f>EXP(-LN(2)/2)*BR39+(1-EXP(-LN(2)/2))/(LN(2)/2)*BL40*BO40*VLOOKUP('Données projet'!$B$11,Paramètres!$A$1:$I$89,3,0)*0.475*44/12</f>
        <v>0</v>
      </c>
      <c r="BS40" s="24">
        <f t="shared" si="9"/>
        <v>0</v>
      </c>
      <c r="BT40" s="77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11.2</v>
      </c>
      <c r="BY40" s="13">
        <f>IF('Données projet'!$A$114&gt;35,BY39+BX40-CG39,IF(A40&lt;'Données projet'!$A$114,$BV$205^A40,IF(A40='Données projet'!$A$114,'Données projet'!$B$114,BY39+BX40-CG39)))</f>
        <v>141.40000000000006</v>
      </c>
      <c r="BZ40" s="14">
        <f>BY40*VLOOKUP('Données projet'!$B$12,Paramètres!$A$1:$I$89,3,0)*VLOOKUP('Données projet'!$B$12,Paramètres!$A$1:$I$89,5,0)</f>
        <v>143.37960000000007</v>
      </c>
      <c r="CA40" s="14">
        <f t="shared" si="39"/>
        <v>37.070146308317504</v>
      </c>
      <c r="CB40" s="22">
        <f t="shared" si="10"/>
        <v>314.28330815365308</v>
      </c>
      <c r="CC40" s="60">
        <f t="shared" si="11"/>
        <v>607.6166414869864</v>
      </c>
      <c r="CD40" s="60">
        <f ca="1">AVERAGE(OFFSET($CC$3,0,0,'Données projet'!$E$12+1,1))-AVERAGE(OFFSET($H$3,0,0,'Données projet'!$E$12+1,1))</f>
        <v>587.74247372331615</v>
      </c>
      <c r="CE40" s="60">
        <f t="shared" si="40"/>
        <v>306.61893266146666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>
        <f>EXP(-LN(2)/35)*CK39+(1-EXP(-LN(2)/35))/(LN(2)/35)*CG40*CH40*VLOOKUP('Données projet'!$B$12,Paramètres!$A$1:$I$89,3,0)*0.475*44/12</f>
        <v>0</v>
      </c>
      <c r="CL40" s="23">
        <f>EXP(-LN(2)/25)*CL39+(1-EXP(-LN(2)/25))/(LN(2)/25)*Calculateur!CG40*Calculateur!CI40*VLOOKUP('Données projet'!$B$12,Paramètres!$A$1:$I$89,3,0)*0.475*44/12</f>
        <v>0</v>
      </c>
      <c r="CM40" s="23">
        <f>EXP(-LN(2)/2)*CM39+(1-EXP(-LN(2)/2))/(LN(2)/2)*CG40*CJ40*VLOOKUP('Données projet'!$B$12,Paramètres!$A$1:$I$89,3,0)*0.475*44/12</f>
        <v>0</v>
      </c>
      <c r="CN40" s="24">
        <f t="shared" si="12"/>
        <v>0</v>
      </c>
      <c r="CO40" s="77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11.2</v>
      </c>
      <c r="CT40" s="13">
        <f>IF('Données projet'!$A$140&gt;35,CT39+CS40-DB39,IF(A40&lt;'Données projet'!$A$140,$CQ$205^A40,IF(A40='Données projet'!$A$140,'Données projet'!$B$140,CT39+CS40-DB39)))</f>
        <v>141.40000000000006</v>
      </c>
      <c r="CU40" s="18">
        <f>CT40*VLOOKUP('Données projet'!$B$13,Paramètres!$A$1:$I$89,3,0)*VLOOKUP('Données projet'!$B$13,Paramètres!$A$1:$I$89,5,0)</f>
        <v>152.20296000000005</v>
      </c>
      <c r="CV40" s="14">
        <f t="shared" si="41"/>
        <v>39.078790593326879</v>
      </c>
      <c r="CW40" s="22">
        <f t="shared" si="13"/>
        <v>333.1490489500444</v>
      </c>
      <c r="CX40" s="60">
        <f t="shared" si="14"/>
        <v>626.48238228337777</v>
      </c>
      <c r="CY40" s="60">
        <f ca="1">AVERAGE(OFFSET($CX$3,0,0,'Données projet'!$E$13+1,1))-AVERAGE(OFFSET($H$3,0,0,'Données projet'!$E$13+1,1))</f>
        <v>621.10465023992288</v>
      </c>
      <c r="CZ40" s="60">
        <f t="shared" si="42"/>
        <v>322.81767004794284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>
        <f>EXP(-LN(2)/35)*DF39+(1-EXP(-LN(2)/35))/(LN(2)/35)*DB40*DC40*VLOOKUP('Données projet'!$B$13,Paramètres!$A$1:$I$89,3,0)*0.475*44/12</f>
        <v>0</v>
      </c>
      <c r="DG40" s="23">
        <f>EXP(-LN(2)/25)*DG39+(1-EXP(-LN(2)/25))/(LN(2)/25)*Calculateur!DB40*Calculateur!DD40*VLOOKUP('Données projet'!$B$13,Paramètres!$A$1:$I$89,3,0)*0.475*44/12</f>
        <v>0</v>
      </c>
      <c r="DH40" s="23">
        <f>EXP(-LN(2)/2)*DH39+(1-EXP(-LN(2)/2))/(LN(2)/2)*DB40*DE40*VLOOKUP('Données projet'!$B$13,Paramètres!$A$1:$I$89,3,0)*0.475*44/12</f>
        <v>0</v>
      </c>
      <c r="DI40" s="24">
        <f t="shared" si="15"/>
        <v>0</v>
      </c>
      <c r="DJ40" s="77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11.2</v>
      </c>
      <c r="DO40" s="13">
        <f>IF('Données projet'!$A$166&gt;35,DO39+DN40-DW39,IF(A40&lt;'Données projet'!$A$166,$DL$205^A40,IF(A40='Données projet'!$A$166,'Données projet'!$B$166,DO39+DN40-DW39)))</f>
        <v>141.40000000000006</v>
      </c>
      <c r="DP40" s="18">
        <f>DO40*VLOOKUP('Données projet'!$B$14,Paramètres!$A$1:$I$89,3,0)*VLOOKUP('Données projet'!$B$14,Paramètres!$A$1:$I$89,5,0)</f>
        <v>136.76208000000005</v>
      </c>
      <c r="DQ40" s="14">
        <f t="shared" si="43"/>
        <v>35.554236342883392</v>
      </c>
      <c r="DR40" s="22">
        <f t="shared" si="16"/>
        <v>300.11758429718867</v>
      </c>
      <c r="DS40" s="60">
        <f t="shared" si="17"/>
        <v>593.45091763052199</v>
      </c>
      <c r="DT40" s="60">
        <f ca="1">AVERAGE(OFFSET($DS$3,0,0,'Données projet'!$E$14+1,1))-AVERAGE(OFFSET($H$3,0,0,'Données projet'!$E$14+1,1))</f>
        <v>562.69380557620775</v>
      </c>
      <c r="DU40" s="60">
        <f t="shared" si="44"/>
        <v>294.45557293177131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>
        <f>EXP(-LN(2)/35)*EA39+(1-EXP(-LN(2)/35))/(LN(2)/35)*DW40*DX40*VLOOKUP('Données projet'!$B$14,Paramètres!$A$1:$I$89,3,0)*0.475*44/12</f>
        <v>0</v>
      </c>
      <c r="EB40" s="23">
        <f>EXP(-LN(2)/25)*EB39+(1-EXP(-LN(2)/25))/(LN(2)/25)*Calculateur!DW40*Calculateur!DY40*VLOOKUP('Données projet'!$B$14,Paramètres!$A$1:$I$89,3,0)*0.475*44/12</f>
        <v>0</v>
      </c>
      <c r="EC40" s="23">
        <f>EXP(-LN(2)/2)*EC39+(1-EXP(-LN(2)/2))/(LN(2)/2)*DW40*DZ40*VLOOKUP('Données projet'!$B$14,Paramètres!$A$1:$I$89,3,0)*0.475*44/12</f>
        <v>0</v>
      </c>
      <c r="ED40" s="24">
        <f t="shared" si="18"/>
        <v>0</v>
      </c>
      <c r="EE40" s="77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>
        <f>VLOOKUP(A40,'Données projet'!$A$191:$I$211,2,0)</f>
        <v>188</v>
      </c>
      <c r="EH40" s="13">
        <f>VLOOKUP(A40,'Données projet'!$A$191:$I$211,9,0)</f>
        <v>11.5</v>
      </c>
      <c r="EI40" s="13">
        <f t="array" ref="EI40">INDEX(EH:EH,MIN(IF(ISNUMBER(EH40:EH236),ROW(EH40:EH236),"")))</f>
        <v>11.5</v>
      </c>
      <c r="EJ40" s="13">
        <f>IF('Données projet'!$A$192&gt;35,EJ39+EI40-ER39,IF(A40&lt;'Données projet'!$A$192,$EG$205^A40,IF(A40='Données projet'!$A$192,'Données projet'!$B$192,EJ39+EI40-ER39)))</f>
        <v>187.99999999999997</v>
      </c>
      <c r="EK40" s="18">
        <f>EJ40*VLOOKUP('Données projet'!$B$15,Paramètres!$A$1:$I$89,3,0)*VLOOKUP('Données projet'!$B$15,Paramètres!$A$1:$I$89,5,0)</f>
        <v>146.63999999999999</v>
      </c>
      <c r="EL40" s="14">
        <f t="shared" si="45"/>
        <v>37.814009712703026</v>
      </c>
      <c r="EM40" s="22">
        <f t="shared" si="19"/>
        <v>321.25740024962437</v>
      </c>
      <c r="EN40" s="60">
        <f t="shared" si="20"/>
        <v>614.59073358295768</v>
      </c>
      <c r="EO40" s="60">
        <f ca="1">AVERAGE(OFFSET($EN$3,0,0,'Données projet'!$E$15+1,1))-AVERAGE(OFFSET($H$3,0,0,'Données projet'!$E$15+1,1))</f>
        <v>292.57482726862594</v>
      </c>
      <c r="EP40" s="60">
        <f t="shared" si="46"/>
        <v>283.48738729114024</v>
      </c>
      <c r="EQ40" s="16">
        <f>IF(ISNA(VLOOKUP(A40,'Données projet'!$A$191:$I$211,3,0)),0,VLOOKUP(A40,'Données projet'!$A$191:$I$211,3,0))</f>
        <v>3</v>
      </c>
      <c r="ER40" s="16">
        <f>IF(ISNA(VLOOKUP(A40,'Données projet'!$A$191:$I$211,4,0)),0,VLOOKUP(A40,'Données projet'!$A$191:$I$211,4,0))</f>
        <v>36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>
        <f>EXP(-LN(2)/35)*EV39+(1-EXP(-LN(2)/35))/(LN(2)/35)*ER40*ES40*VLOOKUP('Données projet'!$B$15,Paramètres!$A$1:$I$89,3,0)*0.475*44/12</f>
        <v>0</v>
      </c>
      <c r="EW40" s="23">
        <f>EXP(-LN(2)/25)*EW39+(1-EXP(-LN(2)/25))/(LN(2)/25)*Calculateur!ER40*Calculateur!ET40*VLOOKUP('Données projet'!$B$15,Paramètres!$A$1:$I$89,3,0)*0.475*44/12</f>
        <v>0</v>
      </c>
      <c r="EX40" s="23">
        <f>EXP(-LN(2)/2)*EX39+(1-EXP(-LN(2)/2))/(LN(2)/2)*ER40*EU40*VLOOKUP('Données projet'!$B$15,Paramètres!$A$1:$I$89,3,0)*0.475*44/12</f>
        <v>0</v>
      </c>
      <c r="EY40" s="24">
        <f t="shared" si="21"/>
        <v>0</v>
      </c>
      <c r="EZ40" s="77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0" t="e">
        <f t="shared" si="23"/>
        <v>#N/A</v>
      </c>
      <c r="FJ40" s="60" t="e">
        <f ca="1">AVERAGE(OFFSET($FI$3,0,0,'Données projet'!$E$16+1,1))-AVERAGE(OFFSET($H$3,0,0,'Données projet'!$E$16+1,1))</f>
        <v>#N/A</v>
      </c>
      <c r="FK40" s="60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77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0" t="e">
        <f t="shared" si="26"/>
        <v>#N/A</v>
      </c>
      <c r="GE40" s="60" t="e">
        <f ca="1">AVERAGE(OFFSET($GD$3,0,0,'Données projet'!$E$17+1,1))-AVERAGE(OFFSET($H$3,0,0,'Données projet'!$E$17+1,1))</f>
        <v>#N/A</v>
      </c>
      <c r="GF40" s="60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77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0" t="e">
        <f t="shared" si="29"/>
        <v>#N/A</v>
      </c>
      <c r="GZ40" s="60" t="e">
        <f ca="1">AVERAGE(OFFSET($GY$3,0,0,'Données projet'!$E$18+1,1))-AVERAGE(OFFSET($H$3,0,0,'Données projet'!$E$18+1,1))</f>
        <v>#N/A</v>
      </c>
      <c r="HA40" s="60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25">
      <c r="A41" s="11">
        <f t="shared" si="31"/>
        <v>38</v>
      </c>
      <c r="B41" s="74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2">
        <f t="shared" si="32"/>
        <v>0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0</v>
      </c>
      <c r="H41" s="67">
        <f t="shared" si="1"/>
        <v>256.66666666666669</v>
      </c>
      <c r="I41" s="7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6.7948717948717956</v>
      </c>
      <c r="N41" s="14">
        <f>IF('Données projet'!$A$36&gt;35,N40+M41-V40,IF(A41&lt;'Données projet'!$A$36,$K$205^A41,IF(A41='Données projet'!$A$36,'Données projet'!$B$36,N40+M41-V40)))</f>
        <v>163.97435897435898</v>
      </c>
      <c r="O41" s="14">
        <f>N41*VLOOKUP('Données projet'!$B$9,Paramètres!$A$1:$I$89,3,0)*VLOOKUP('Données projet'!$B$9,Paramètres!$A$1:$I$89,5,0)</f>
        <v>156.03800000000001</v>
      </c>
      <c r="P41" s="14">
        <f t="shared" si="33"/>
        <v>39.94757532752773</v>
      </c>
      <c r="Q41" s="22">
        <f t="shared" si="53"/>
        <v>341.34154369544405</v>
      </c>
      <c r="R41" s="60">
        <f t="shared" si="0"/>
        <v>634.67487702877736</v>
      </c>
      <c r="S41" s="60">
        <f ca="1">AVERAGE(OFFSET($R$3,0,0,'Données projet'!$E$9+1,1))-AVERAGE(OFFSET($H$3,0,0,'Données projet'!$E$9+1,1))</f>
        <v>403.49781966317852</v>
      </c>
      <c r="T41" s="60">
        <f t="shared" si="34"/>
        <v>326.06674572505409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0</v>
      </c>
      <c r="AA41" s="23">
        <f>EXP(-LN(2)/25)*AA40+(1-EXP(-LN(2)/25))/(LN(2)/25)*Calculateur!V41*Calculateur!X41*VLOOKUP('Données projet'!$B$9,Paramètres!$A$1:$I$89,3,0)*0.475*44/12</f>
        <v>0</v>
      </c>
      <c r="AB41" s="23">
        <f>EXP(-LN(2)/2)*AB40+(1-EXP(-LN(2)/2))/(LN(2)/2)*V41*Y41*VLOOKUP('Données projet'!$B$9,Paramètres!$A$1:$I$89,3,0)*0.475*44/12</f>
        <v>0</v>
      </c>
      <c r="AC41" s="24">
        <f t="shared" si="3"/>
        <v>0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7.6</v>
      </c>
      <c r="AI41" s="14">
        <f>IF('Données projet'!$A$62&gt;35,AI40+AH41-AQ40,IF(A41&lt;'Données projet'!$A$62,$AF$205^A41,IF(A41='Données projet'!$A$62,'Données projet'!$B$62,AI40+AH41-AQ40)))</f>
        <v>137.79999999999995</v>
      </c>
      <c r="AJ41" s="14">
        <f>AI41*VLOOKUP('Données projet'!$B$10,Paramètres!$A$1:$I$89,3,0)*VLOOKUP('Données projet'!$B$10,Paramètres!$A$1:$I$89,5,0)</f>
        <v>120.38207999999997</v>
      </c>
      <c r="AK41" s="14">
        <f t="shared" si="35"/>
        <v>31.764096685603551</v>
      </c>
      <c r="AL41" s="22">
        <f t="shared" si="4"/>
        <v>264.98792439409277</v>
      </c>
      <c r="AM41" s="60">
        <f t="shared" si="5"/>
        <v>558.32125772742609</v>
      </c>
      <c r="AN41" s="60">
        <f ca="1">AVERAGE(OFFSET($AM$3,0,0,'Données projet'!$E$10+1,1))-AVERAGE(OFFSET($H$3,0,0,'Données projet'!$E$10+1,1))</f>
        <v>274.66236526869056</v>
      </c>
      <c r="AO41" s="60">
        <f t="shared" si="36"/>
        <v>256.90876395053073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>
        <f>EXP(-LN(2)/35)*AU40+(1-EXP(-LN(2)/35))/(LN(2)/35)*AQ41*AR41*VLOOKUP('Données projet'!$B$10,Paramètres!$A$1:$I$89,3,0)*0.475*44/12</f>
        <v>0</v>
      </c>
      <c r="AV41" s="23">
        <f>EXP(-LN(2)/25)*AV40+(1-EXP(-LN(2)/25))/(LN(2)/25)*Calculateur!AQ41*Calculateur!AS41*VLOOKUP('Données projet'!$B$10,Paramètres!$A$1:$I$89,3,0)*0.475*44/12</f>
        <v>0</v>
      </c>
      <c r="AW41" s="23">
        <f>EXP(-LN(2)/2)*AW40+(1-EXP(-LN(2)/2))/(LN(2)/2)*AQ41*AT41*VLOOKUP('Données projet'!$B$10,Paramètres!$A$1:$I$89,3,0)*0.475*44/12</f>
        <v>0</v>
      </c>
      <c r="AX41" s="23">
        <f t="shared" si="6"/>
        <v>0</v>
      </c>
      <c r="AY41" s="76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11.2</v>
      </c>
      <c r="BD41" s="13">
        <f>IF('Données projet'!$A$88&gt;35,BD40+BC41-BL40,IF(A41&lt;'Données projet'!$A$88,$BA$205^A41,IF(A41='Données projet'!$A$88,'Données projet'!$B$88,BD40+BC41-BL40)))</f>
        <v>152.60000000000005</v>
      </c>
      <c r="BE41" s="14">
        <f>BD41*VLOOKUP('Données projet'!$B$11,Paramètres!$A$1:$I$89,3,0)*VLOOKUP('Données projet'!$B$11,Paramètres!$A$1:$I$89,5,0)</f>
        <v>138.07248000000004</v>
      </c>
      <c r="BF41" s="14">
        <f t="shared" si="37"/>
        <v>35.85508207677799</v>
      </c>
      <c r="BG41" s="22">
        <f t="shared" si="7"/>
        <v>302.92383728372175</v>
      </c>
      <c r="BH41" s="60">
        <f t="shared" si="8"/>
        <v>596.25717061705507</v>
      </c>
      <c r="BI41" s="60">
        <f ca="1">AVERAGE(OFFSET($BH$3,0,0,'Données projet'!$E$11+1,1))-AVERAGE(OFFSET($H$3,0,0,'Données projet'!$E$11+1,1))</f>
        <v>529.25712986118265</v>
      </c>
      <c r="BJ41" s="60">
        <f t="shared" si="38"/>
        <v>278.21741231699929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>
        <f>EXP(-LN(2)/35)*BP40+(1-EXP(-LN(2)/35))/(LN(2)/35)*BL41*BM41*VLOOKUP('Données projet'!$B$11,Paramètres!$A$1:$I$89,3,0)*0.475*44/12</f>
        <v>0</v>
      </c>
      <c r="BQ41" s="23">
        <f>EXP(-LN(2)/25)*BQ40+(1-EXP(-LN(2)/25))/(LN(2)/25)*Calculateur!BL41*Calculateur!BN41*VLOOKUP('Données projet'!$B$11,Paramètres!$A$1:$I$89,3,0)*0.475*44/12</f>
        <v>0</v>
      </c>
      <c r="BR41" s="23">
        <f>EXP(-LN(2)/2)*BR40+(1-EXP(-LN(2)/2))/(LN(2)/2)*BL41*BO41*VLOOKUP('Données projet'!$B$11,Paramètres!$A$1:$I$89,3,0)*0.475*44/12</f>
        <v>0</v>
      </c>
      <c r="BS41" s="24">
        <f t="shared" si="9"/>
        <v>0</v>
      </c>
      <c r="BT41" s="77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11.2</v>
      </c>
      <c r="BY41" s="13">
        <f>IF('Données projet'!$A$114&gt;35,BY40+BX41-CG40,IF(A41&lt;'Données projet'!$A$114,$BV$205^A41,IF(A41='Données projet'!$A$114,'Données projet'!$B$114,BY40+BX41-CG40)))</f>
        <v>152.60000000000005</v>
      </c>
      <c r="BZ41" s="14">
        <f>BY41*VLOOKUP('Données projet'!$B$12,Paramètres!$A$1:$I$89,3,0)*VLOOKUP('Données projet'!$B$12,Paramètres!$A$1:$I$89,5,0)</f>
        <v>154.73640000000006</v>
      </c>
      <c r="CA41" s="14">
        <f t="shared" si="39"/>
        <v>39.652994320183701</v>
      </c>
      <c r="CB41" s="22">
        <f t="shared" si="10"/>
        <v>338.56152844098671</v>
      </c>
      <c r="CC41" s="60">
        <f t="shared" si="11"/>
        <v>631.89486177432002</v>
      </c>
      <c r="CD41" s="60">
        <f ca="1">AVERAGE(OFFSET($CC$3,0,0,'Données projet'!$E$12+1,1))-AVERAGE(OFFSET($H$3,0,0,'Données projet'!$E$12+1,1))</f>
        <v>587.74247372331615</v>
      </c>
      <c r="CE41" s="60">
        <f t="shared" si="40"/>
        <v>306.61893266146666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>
        <f>EXP(-LN(2)/35)*CK40+(1-EXP(-LN(2)/35))/(LN(2)/35)*CG41*CH41*VLOOKUP('Données projet'!$B$12,Paramètres!$A$1:$I$89,3,0)*0.475*44/12</f>
        <v>0</v>
      </c>
      <c r="CL41" s="23">
        <f>EXP(-LN(2)/25)*CL40+(1-EXP(-LN(2)/25))/(LN(2)/25)*Calculateur!CG41*Calculateur!CI41*VLOOKUP('Données projet'!$B$12,Paramètres!$A$1:$I$89,3,0)*0.475*44/12</f>
        <v>0</v>
      </c>
      <c r="CM41" s="23">
        <f>EXP(-LN(2)/2)*CM40+(1-EXP(-LN(2)/2))/(LN(2)/2)*CG41*CJ41*VLOOKUP('Données projet'!$B$12,Paramètres!$A$1:$I$89,3,0)*0.475*44/12</f>
        <v>0</v>
      </c>
      <c r="CN41" s="24">
        <f t="shared" si="12"/>
        <v>0</v>
      </c>
      <c r="CO41" s="77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11.2</v>
      </c>
      <c r="CT41" s="13">
        <f>IF('Données projet'!$A$140&gt;35,CT40+CS41-DB40,IF(A41&lt;'Données projet'!$A$140,$CQ$205^A41,IF(A41='Données projet'!$A$140,'Données projet'!$B$140,CT40+CS41-DB40)))</f>
        <v>152.60000000000005</v>
      </c>
      <c r="CU41" s="18">
        <f>CT41*VLOOKUP('Données projet'!$B$13,Paramètres!$A$1:$I$89,3,0)*VLOOKUP('Données projet'!$B$13,Paramètres!$A$1:$I$89,5,0)</f>
        <v>164.25864000000004</v>
      </c>
      <c r="CV41" s="14">
        <f t="shared" si="41"/>
        <v>41.80159011374478</v>
      </c>
      <c r="CW41" s="22">
        <f t="shared" si="13"/>
        <v>358.88823411477216</v>
      </c>
      <c r="CX41" s="60">
        <f t="shared" si="14"/>
        <v>652.22156744810547</v>
      </c>
      <c r="CY41" s="60">
        <f ca="1">AVERAGE(OFFSET($CX$3,0,0,'Données projet'!$E$13+1,1))-AVERAGE(OFFSET($H$3,0,0,'Données projet'!$E$13+1,1))</f>
        <v>621.10465023992288</v>
      </c>
      <c r="CZ41" s="60">
        <f t="shared" si="42"/>
        <v>322.81767004794284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>
        <f>EXP(-LN(2)/35)*DF40+(1-EXP(-LN(2)/35))/(LN(2)/35)*DB41*DC41*VLOOKUP('Données projet'!$B$13,Paramètres!$A$1:$I$89,3,0)*0.475*44/12</f>
        <v>0</v>
      </c>
      <c r="DG41" s="23">
        <f>EXP(-LN(2)/25)*DG40+(1-EXP(-LN(2)/25))/(LN(2)/25)*Calculateur!DB41*Calculateur!DD41*VLOOKUP('Données projet'!$B$13,Paramètres!$A$1:$I$89,3,0)*0.475*44/12</f>
        <v>0</v>
      </c>
      <c r="DH41" s="23">
        <f>EXP(-LN(2)/2)*DH40+(1-EXP(-LN(2)/2))/(LN(2)/2)*DB41*DE41*VLOOKUP('Données projet'!$B$13,Paramètres!$A$1:$I$89,3,0)*0.475*44/12</f>
        <v>0</v>
      </c>
      <c r="DI41" s="24">
        <f t="shared" si="15"/>
        <v>0</v>
      </c>
      <c r="DJ41" s="77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11.2</v>
      </c>
      <c r="DO41" s="13">
        <f>IF('Données projet'!$A$166&gt;35,DO40+DN41-DW40,IF(A41&lt;'Données projet'!$A$166,$DL$205^A41,IF(A41='Données projet'!$A$166,'Données projet'!$B$166,DO40+DN41-DW40)))</f>
        <v>152.60000000000005</v>
      </c>
      <c r="DP41" s="18">
        <f>DO41*VLOOKUP('Données projet'!$B$14,Paramètres!$A$1:$I$89,3,0)*VLOOKUP('Données projet'!$B$14,Paramètres!$A$1:$I$89,5,0)</f>
        <v>147.59472000000005</v>
      </c>
      <c r="DQ41" s="14">
        <f t="shared" si="43"/>
        <v>38.031463918082679</v>
      </c>
      <c r="DR41" s="22">
        <f t="shared" si="16"/>
        <v>323.29893699066071</v>
      </c>
      <c r="DS41" s="60">
        <f t="shared" si="17"/>
        <v>616.63227032399402</v>
      </c>
      <c r="DT41" s="60">
        <f ca="1">AVERAGE(OFFSET($DS$3,0,0,'Données projet'!$E$14+1,1))-AVERAGE(OFFSET($H$3,0,0,'Données projet'!$E$14+1,1))</f>
        <v>562.69380557620775</v>
      </c>
      <c r="DU41" s="60">
        <f t="shared" si="44"/>
        <v>294.45557293177131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>
        <f>EXP(-LN(2)/35)*EA40+(1-EXP(-LN(2)/35))/(LN(2)/35)*DW41*DX41*VLOOKUP('Données projet'!$B$14,Paramètres!$A$1:$I$89,3,0)*0.475*44/12</f>
        <v>0</v>
      </c>
      <c r="EB41" s="23">
        <f>EXP(-LN(2)/25)*EB40+(1-EXP(-LN(2)/25))/(LN(2)/25)*Calculateur!DW41*Calculateur!DY41*VLOOKUP('Données projet'!$B$14,Paramètres!$A$1:$I$89,3,0)*0.475*44/12</f>
        <v>0</v>
      </c>
      <c r="EC41" s="23">
        <f>EXP(-LN(2)/2)*EC40+(1-EXP(-LN(2)/2))/(LN(2)/2)*DW41*DZ41*VLOOKUP('Données projet'!$B$14,Paramètres!$A$1:$I$89,3,0)*0.475*44/12</f>
        <v>0</v>
      </c>
      <c r="ED41" s="24">
        <f t="shared" si="18"/>
        <v>0</v>
      </c>
      <c r="EE41" s="77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11.142857142857142</v>
      </c>
      <c r="EJ41" s="13">
        <f>IF('Données projet'!$A$192&gt;35,EJ40+EI41-ER40,IF(A41&lt;'Données projet'!$A$192,$EG$205^A41,IF(A41='Données projet'!$A$192,'Données projet'!$B$192,EJ40+EI41-ER40)))</f>
        <v>163.14285714285711</v>
      </c>
      <c r="EK41" s="18">
        <f>EJ41*VLOOKUP('Données projet'!$B$15,Paramètres!$A$1:$I$89,3,0)*VLOOKUP('Données projet'!$B$15,Paramètres!$A$1:$I$89,5,0)</f>
        <v>127.25142857142855</v>
      </c>
      <c r="EL41" s="14">
        <f t="shared" si="45"/>
        <v>33.360457439554281</v>
      </c>
      <c r="EM41" s="22">
        <f t="shared" si="19"/>
        <v>279.73236813579507</v>
      </c>
      <c r="EN41" s="60">
        <f t="shared" si="20"/>
        <v>573.06570146912838</v>
      </c>
      <c r="EO41" s="60">
        <f ca="1">AVERAGE(OFFSET($EN$3,0,0,'Données projet'!$E$15+1,1))-AVERAGE(OFFSET($H$3,0,0,'Données projet'!$E$15+1,1))</f>
        <v>292.57482726862594</v>
      </c>
      <c r="EP41" s="60">
        <f t="shared" si="46"/>
        <v>283.48738729114024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>
        <f>EXP(-LN(2)/35)*EV40+(1-EXP(-LN(2)/35))/(LN(2)/35)*ER41*ES41*VLOOKUP('Données projet'!$B$15,Paramètres!$A$1:$I$89,3,0)*0.475*44/12</f>
        <v>0</v>
      </c>
      <c r="EW41" s="23">
        <f>EXP(-LN(2)/25)*EW40+(1-EXP(-LN(2)/25))/(LN(2)/25)*Calculateur!ER41*Calculateur!ET41*VLOOKUP('Données projet'!$B$15,Paramètres!$A$1:$I$89,3,0)*0.475*44/12</f>
        <v>0</v>
      </c>
      <c r="EX41" s="23">
        <f>EXP(-LN(2)/2)*EX40+(1-EXP(-LN(2)/2))/(LN(2)/2)*ER41*EU41*VLOOKUP('Données projet'!$B$15,Paramètres!$A$1:$I$89,3,0)*0.475*44/12</f>
        <v>0</v>
      </c>
      <c r="EY41" s="24">
        <f t="shared" si="21"/>
        <v>0</v>
      </c>
      <c r="EZ41" s="77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0" t="e">
        <f t="shared" si="23"/>
        <v>#N/A</v>
      </c>
      <c r="FJ41" s="60" t="e">
        <f ca="1">AVERAGE(OFFSET($FI$3,0,0,'Données projet'!$E$16+1,1))-AVERAGE(OFFSET($H$3,0,0,'Données projet'!$E$16+1,1))</f>
        <v>#N/A</v>
      </c>
      <c r="FK41" s="60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77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0" t="e">
        <f t="shared" si="26"/>
        <v>#N/A</v>
      </c>
      <c r="GE41" s="60" t="e">
        <f ca="1">AVERAGE(OFFSET($GD$3,0,0,'Données projet'!$E$17+1,1))-AVERAGE(OFFSET($H$3,0,0,'Données projet'!$E$17+1,1))</f>
        <v>#N/A</v>
      </c>
      <c r="GF41" s="60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77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0" t="e">
        <f t="shared" si="29"/>
        <v>#N/A</v>
      </c>
      <c r="GZ41" s="60" t="e">
        <f ca="1">AVERAGE(OFFSET($GY$3,0,0,'Données projet'!$E$18+1,1))-AVERAGE(OFFSET($H$3,0,0,'Données projet'!$E$18+1,1))</f>
        <v>#N/A</v>
      </c>
      <c r="HA41" s="60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25">
      <c r="A42" s="11">
        <f t="shared" si="31"/>
        <v>39</v>
      </c>
      <c r="B42" s="74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2">
        <f t="shared" si="32"/>
        <v>0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0</v>
      </c>
      <c r="H42" s="67">
        <f t="shared" si="1"/>
        <v>256.66666666666669</v>
      </c>
      <c r="I42" s="7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6.7948717948717956</v>
      </c>
      <c r="N42" s="14">
        <f>IF('Données projet'!$A$36&gt;35,N41+M42-V41,IF(A42&lt;'Données projet'!$A$36,$K$205^A42,IF(A42='Données projet'!$A$36,'Données projet'!$B$36,N41+M42-V41)))</f>
        <v>170.76923076923077</v>
      </c>
      <c r="O42" s="14">
        <f>N42*VLOOKUP('Données projet'!$B$9,Paramètres!$A$1:$I$89,3,0)*VLOOKUP('Données projet'!$B$9,Paramètres!$A$1:$I$89,5,0)</f>
        <v>162.50399999999999</v>
      </c>
      <c r="P42" s="14">
        <f t="shared" si="33"/>
        <v>41.406788145180982</v>
      </c>
      <c r="Q42" s="22">
        <f t="shared" si="53"/>
        <v>355.14462268619019</v>
      </c>
      <c r="R42" s="60">
        <f t="shared" si="0"/>
        <v>648.4779560195235</v>
      </c>
      <c r="S42" s="60">
        <f ca="1">AVERAGE(OFFSET($R$3,0,0,'Données projet'!$E$9+1,1))-AVERAGE(OFFSET($H$3,0,0,'Données projet'!$E$9+1,1))</f>
        <v>403.49781966317852</v>
      </c>
      <c r="T42" s="60">
        <f t="shared" si="34"/>
        <v>326.06674572505409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0</v>
      </c>
      <c r="AA42" s="23">
        <f>EXP(-LN(2)/25)*AA41+(1-EXP(-LN(2)/25))/(LN(2)/25)*Calculateur!V42*Calculateur!X42*VLOOKUP('Données projet'!$B$9,Paramètres!$A$1:$I$89,3,0)*0.475*44/12</f>
        <v>0</v>
      </c>
      <c r="AB42" s="23">
        <f>EXP(-LN(2)/2)*AB41+(1-EXP(-LN(2)/2))/(LN(2)/2)*V42*Y42*VLOOKUP('Données projet'!$B$9,Paramètres!$A$1:$I$89,3,0)*0.475*44/12</f>
        <v>0</v>
      </c>
      <c r="AC42" s="24">
        <f t="shared" si="3"/>
        <v>0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7.6</v>
      </c>
      <c r="AI42" s="14">
        <f>IF('Données projet'!$A$62&gt;35,AI41+AH42-AQ41,IF(A42&lt;'Données projet'!$A$62,$AF$205^A42,IF(A42='Données projet'!$A$62,'Données projet'!$B$62,AI41+AH42-AQ41)))</f>
        <v>145.39999999999995</v>
      </c>
      <c r="AJ42" s="14">
        <f>AI42*VLOOKUP('Données projet'!$B$10,Paramètres!$A$1:$I$89,3,0)*VLOOKUP('Données projet'!$B$10,Paramètres!$A$1:$I$89,5,0)</f>
        <v>127.02143999999997</v>
      </c>
      <c r="AK42" s="14">
        <f t="shared" si="35"/>
        <v>33.307175870664402</v>
      </c>
      <c r="AL42" s="22">
        <f t="shared" si="4"/>
        <v>279.23900597474045</v>
      </c>
      <c r="AM42" s="60">
        <f t="shared" si="5"/>
        <v>572.57233930807377</v>
      </c>
      <c r="AN42" s="60">
        <f ca="1">AVERAGE(OFFSET($AM$3,0,0,'Données projet'!$E$10+1,1))-AVERAGE(OFFSET($H$3,0,0,'Données projet'!$E$10+1,1))</f>
        <v>274.66236526869056</v>
      </c>
      <c r="AO42" s="60">
        <f t="shared" si="36"/>
        <v>256.90876395053073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>
        <f>EXP(-LN(2)/35)*AU41+(1-EXP(-LN(2)/35))/(LN(2)/35)*AQ42*AR42*VLOOKUP('Données projet'!$B$10,Paramètres!$A$1:$I$89,3,0)*0.475*44/12</f>
        <v>0</v>
      </c>
      <c r="AV42" s="23">
        <f>EXP(-LN(2)/25)*AV41+(1-EXP(-LN(2)/25))/(LN(2)/25)*Calculateur!AQ42*Calculateur!AS42*VLOOKUP('Données projet'!$B$10,Paramètres!$A$1:$I$89,3,0)*0.475*44/12</f>
        <v>0</v>
      </c>
      <c r="AW42" s="23">
        <f>EXP(-LN(2)/2)*AW41+(1-EXP(-LN(2)/2))/(LN(2)/2)*AQ42*AT42*VLOOKUP('Données projet'!$B$10,Paramètres!$A$1:$I$89,3,0)*0.475*44/12</f>
        <v>0</v>
      </c>
      <c r="AX42" s="23">
        <f t="shared" si="6"/>
        <v>0</v>
      </c>
      <c r="AY42" s="76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11.2</v>
      </c>
      <c r="BD42" s="13">
        <f>IF('Données projet'!$A$88&gt;35,BD41+BC42-BL41,IF(A42&lt;'Données projet'!$A$88,$BA$205^A42,IF(A42='Données projet'!$A$88,'Données projet'!$B$88,BD41+BC42-BL41)))</f>
        <v>163.80000000000004</v>
      </c>
      <c r="BE42" s="14">
        <f>BD42*VLOOKUP('Données projet'!$B$11,Paramètres!$A$1:$I$89,3,0)*VLOOKUP('Données projet'!$B$11,Paramètres!$A$1:$I$89,5,0)</f>
        <v>148.20624000000004</v>
      </c>
      <c r="BF42" s="14">
        <f t="shared" si="37"/>
        <v>38.170662245893794</v>
      </c>
      <c r="BG42" s="22">
        <f t="shared" si="7"/>
        <v>324.60643807826506</v>
      </c>
      <c r="BH42" s="60">
        <f t="shared" si="8"/>
        <v>617.93977141159837</v>
      </c>
      <c r="BI42" s="60">
        <f ca="1">AVERAGE(OFFSET($BH$3,0,0,'Données projet'!$E$11+1,1))-AVERAGE(OFFSET($H$3,0,0,'Données projet'!$E$11+1,1))</f>
        <v>529.25712986118265</v>
      </c>
      <c r="BJ42" s="60">
        <f t="shared" si="38"/>
        <v>278.21741231699929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>
        <f>EXP(-LN(2)/35)*BP41+(1-EXP(-LN(2)/35))/(LN(2)/35)*BL42*BM42*VLOOKUP('Données projet'!$B$11,Paramètres!$A$1:$I$89,3,0)*0.475*44/12</f>
        <v>0</v>
      </c>
      <c r="BQ42" s="23">
        <f>EXP(-LN(2)/25)*BQ41+(1-EXP(-LN(2)/25))/(LN(2)/25)*Calculateur!BL42*Calculateur!BN42*VLOOKUP('Données projet'!$B$11,Paramètres!$A$1:$I$89,3,0)*0.475*44/12</f>
        <v>0</v>
      </c>
      <c r="BR42" s="23">
        <f>EXP(-LN(2)/2)*BR41+(1-EXP(-LN(2)/2))/(LN(2)/2)*BL42*BO42*VLOOKUP('Données projet'!$B$11,Paramètres!$A$1:$I$89,3,0)*0.475*44/12</f>
        <v>0</v>
      </c>
      <c r="BS42" s="24">
        <f t="shared" si="9"/>
        <v>0</v>
      </c>
      <c r="BT42" s="77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11.2</v>
      </c>
      <c r="BY42" s="13">
        <f>IF('Données projet'!$A$114&gt;35,BY41+BX42-CG41,IF(A42&lt;'Données projet'!$A$114,$BV$205^A42,IF(A42='Données projet'!$A$114,'Données projet'!$B$114,BY41+BX42-CG41)))</f>
        <v>163.80000000000004</v>
      </c>
      <c r="BZ42" s="14">
        <f>BY42*VLOOKUP('Données projet'!$B$12,Paramètres!$A$1:$I$89,3,0)*VLOOKUP('Données projet'!$B$12,Paramètres!$A$1:$I$89,5,0)</f>
        <v>166.09320000000005</v>
      </c>
      <c r="CA42" s="14">
        <f t="shared" si="39"/>
        <v>42.213849908165905</v>
      </c>
      <c r="CB42" s="22">
        <f t="shared" si="10"/>
        <v>362.80144525672239</v>
      </c>
      <c r="CC42" s="60">
        <f t="shared" si="11"/>
        <v>656.1347785900557</v>
      </c>
      <c r="CD42" s="60">
        <f ca="1">AVERAGE(OFFSET($CC$3,0,0,'Données projet'!$E$12+1,1))-AVERAGE(OFFSET($H$3,0,0,'Données projet'!$E$12+1,1))</f>
        <v>587.74247372331615</v>
      </c>
      <c r="CE42" s="60">
        <f t="shared" si="40"/>
        <v>306.61893266146666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>
        <f>EXP(-LN(2)/35)*CK41+(1-EXP(-LN(2)/35))/(LN(2)/35)*CG42*CH42*VLOOKUP('Données projet'!$B$12,Paramètres!$A$1:$I$89,3,0)*0.475*44/12</f>
        <v>0</v>
      </c>
      <c r="CL42" s="23">
        <f>EXP(-LN(2)/25)*CL41+(1-EXP(-LN(2)/25))/(LN(2)/25)*Calculateur!CG42*Calculateur!CI42*VLOOKUP('Données projet'!$B$12,Paramètres!$A$1:$I$89,3,0)*0.475*44/12</f>
        <v>0</v>
      </c>
      <c r="CM42" s="23">
        <f>EXP(-LN(2)/2)*CM41+(1-EXP(-LN(2)/2))/(LN(2)/2)*CG42*CJ42*VLOOKUP('Données projet'!$B$12,Paramètres!$A$1:$I$89,3,0)*0.475*44/12</f>
        <v>0</v>
      </c>
      <c r="CN42" s="24">
        <f t="shared" si="12"/>
        <v>0</v>
      </c>
      <c r="CO42" s="77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11.2</v>
      </c>
      <c r="CT42" s="13">
        <f>IF('Données projet'!$A$140&gt;35,CT41+CS42-DB41,IF(A42&lt;'Données projet'!$A$140,$CQ$205^A42,IF(A42='Données projet'!$A$140,'Données projet'!$B$140,CT41+CS42-DB41)))</f>
        <v>163.80000000000004</v>
      </c>
      <c r="CU42" s="18">
        <f>CT42*VLOOKUP('Données projet'!$B$13,Paramètres!$A$1:$I$89,3,0)*VLOOKUP('Données projet'!$B$13,Paramètres!$A$1:$I$89,5,0)</f>
        <v>176.31432000000004</v>
      </c>
      <c r="CV42" s="14">
        <f t="shared" si="41"/>
        <v>44.501205551735552</v>
      </c>
      <c r="CW42" s="22">
        <f t="shared" si="13"/>
        <v>384.58704033593949</v>
      </c>
      <c r="CX42" s="60">
        <f t="shared" si="14"/>
        <v>677.92037366927275</v>
      </c>
      <c r="CY42" s="60">
        <f ca="1">AVERAGE(OFFSET($CX$3,0,0,'Données projet'!$E$13+1,1))-AVERAGE(OFFSET($H$3,0,0,'Données projet'!$E$13+1,1))</f>
        <v>621.10465023992288</v>
      </c>
      <c r="CZ42" s="60">
        <f t="shared" si="42"/>
        <v>322.81767004794284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>
        <f>EXP(-LN(2)/35)*DF41+(1-EXP(-LN(2)/35))/(LN(2)/35)*DB42*DC42*VLOOKUP('Données projet'!$B$13,Paramètres!$A$1:$I$89,3,0)*0.475*44/12</f>
        <v>0</v>
      </c>
      <c r="DG42" s="23">
        <f>EXP(-LN(2)/25)*DG41+(1-EXP(-LN(2)/25))/(LN(2)/25)*Calculateur!DB42*Calculateur!DD42*VLOOKUP('Données projet'!$B$13,Paramètres!$A$1:$I$89,3,0)*0.475*44/12</f>
        <v>0</v>
      </c>
      <c r="DH42" s="23">
        <f>EXP(-LN(2)/2)*DH41+(1-EXP(-LN(2)/2))/(LN(2)/2)*DB42*DE42*VLOOKUP('Données projet'!$B$13,Paramètres!$A$1:$I$89,3,0)*0.475*44/12</f>
        <v>0</v>
      </c>
      <c r="DI42" s="24">
        <f t="shared" si="15"/>
        <v>0</v>
      </c>
      <c r="DJ42" s="77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11.2</v>
      </c>
      <c r="DO42" s="13">
        <f>IF('Données projet'!$A$166&gt;35,DO41+DN42-DW41,IF(A42&lt;'Données projet'!$A$166,$DL$205^A42,IF(A42='Données projet'!$A$166,'Données projet'!$B$166,DO41+DN42-DW41)))</f>
        <v>163.80000000000004</v>
      </c>
      <c r="DP42" s="18">
        <f>DO42*VLOOKUP('Données projet'!$B$14,Paramètres!$A$1:$I$89,3,0)*VLOOKUP('Données projet'!$B$14,Paramètres!$A$1:$I$89,5,0)</f>
        <v>158.42736000000005</v>
      </c>
      <c r="DQ42" s="14">
        <f t="shared" si="43"/>
        <v>40.487598405868248</v>
      </c>
      <c r="DR42" s="22">
        <f t="shared" si="16"/>
        <v>346.44355255688725</v>
      </c>
      <c r="DS42" s="60">
        <f t="shared" si="17"/>
        <v>639.77688589022057</v>
      </c>
      <c r="DT42" s="60">
        <f ca="1">AVERAGE(OFFSET($DS$3,0,0,'Données projet'!$E$14+1,1))-AVERAGE(OFFSET($H$3,0,0,'Données projet'!$E$14+1,1))</f>
        <v>562.69380557620775</v>
      </c>
      <c r="DU42" s="60">
        <f t="shared" si="44"/>
        <v>294.45557293177131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>
        <f>EXP(-LN(2)/35)*EA41+(1-EXP(-LN(2)/35))/(LN(2)/35)*DW42*DX42*VLOOKUP('Données projet'!$B$14,Paramètres!$A$1:$I$89,3,0)*0.475*44/12</f>
        <v>0</v>
      </c>
      <c r="EB42" s="23">
        <f>EXP(-LN(2)/25)*EB41+(1-EXP(-LN(2)/25))/(LN(2)/25)*Calculateur!DW42*Calculateur!DY42*VLOOKUP('Données projet'!$B$14,Paramètres!$A$1:$I$89,3,0)*0.475*44/12</f>
        <v>0</v>
      </c>
      <c r="EC42" s="23">
        <f>EXP(-LN(2)/2)*EC41+(1-EXP(-LN(2)/2))/(LN(2)/2)*DW42*DZ42*VLOOKUP('Données projet'!$B$14,Paramètres!$A$1:$I$89,3,0)*0.475*44/12</f>
        <v>0</v>
      </c>
      <c r="ED42" s="24">
        <f t="shared" si="18"/>
        <v>0</v>
      </c>
      <c r="EE42" s="77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11.142857142857142</v>
      </c>
      <c r="EJ42" s="13">
        <f>IF('Données projet'!$A$192&gt;35,EJ41+EI42-ER41,IF(A42&lt;'Données projet'!$A$192,$EG$205^A42,IF(A42='Données projet'!$A$192,'Données projet'!$B$192,EJ41+EI42-ER41)))</f>
        <v>174.28571428571425</v>
      </c>
      <c r="EK42" s="18">
        <f>EJ42*VLOOKUP('Données projet'!$B$15,Paramètres!$A$1:$I$89,3,0)*VLOOKUP('Données projet'!$B$15,Paramètres!$A$1:$I$89,5,0)</f>
        <v>135.94285714285712</v>
      </c>
      <c r="EL42" s="14">
        <f t="shared" si="45"/>
        <v>35.365986273808367</v>
      </c>
      <c r="EM42" s="22">
        <f t="shared" si="19"/>
        <v>298.36290228402572</v>
      </c>
      <c r="EN42" s="60">
        <f t="shared" si="20"/>
        <v>591.69623561735898</v>
      </c>
      <c r="EO42" s="60">
        <f ca="1">AVERAGE(OFFSET($EN$3,0,0,'Données projet'!$E$15+1,1))-AVERAGE(OFFSET($H$3,0,0,'Données projet'!$E$15+1,1))</f>
        <v>292.57482726862594</v>
      </c>
      <c r="EP42" s="60">
        <f t="shared" si="46"/>
        <v>283.48738729114024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>
        <f>EXP(-LN(2)/35)*EV41+(1-EXP(-LN(2)/35))/(LN(2)/35)*ER42*ES42*VLOOKUP('Données projet'!$B$15,Paramètres!$A$1:$I$89,3,0)*0.475*44/12</f>
        <v>0</v>
      </c>
      <c r="EW42" s="23">
        <f>EXP(-LN(2)/25)*EW41+(1-EXP(-LN(2)/25))/(LN(2)/25)*Calculateur!ER42*Calculateur!ET42*VLOOKUP('Données projet'!$B$15,Paramètres!$A$1:$I$89,3,0)*0.475*44/12</f>
        <v>0</v>
      </c>
      <c r="EX42" s="23">
        <f>EXP(-LN(2)/2)*EX41+(1-EXP(-LN(2)/2))/(LN(2)/2)*ER42*EU42*VLOOKUP('Données projet'!$B$15,Paramètres!$A$1:$I$89,3,0)*0.475*44/12</f>
        <v>0</v>
      </c>
      <c r="EY42" s="24">
        <f t="shared" si="21"/>
        <v>0</v>
      </c>
      <c r="EZ42" s="77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0" t="e">
        <f t="shared" si="23"/>
        <v>#N/A</v>
      </c>
      <c r="FJ42" s="60" t="e">
        <f ca="1">AVERAGE(OFFSET($FI$3,0,0,'Données projet'!$E$16+1,1))-AVERAGE(OFFSET($H$3,0,0,'Données projet'!$E$16+1,1))</f>
        <v>#N/A</v>
      </c>
      <c r="FK42" s="60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77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0" t="e">
        <f t="shared" si="26"/>
        <v>#N/A</v>
      </c>
      <c r="GE42" s="60" t="e">
        <f ca="1">AVERAGE(OFFSET($GD$3,0,0,'Données projet'!$E$17+1,1))-AVERAGE(OFFSET($H$3,0,0,'Données projet'!$E$17+1,1))</f>
        <v>#N/A</v>
      </c>
      <c r="GF42" s="60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77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0" t="e">
        <f t="shared" si="29"/>
        <v>#N/A</v>
      </c>
      <c r="GZ42" s="60" t="e">
        <f ca="1">AVERAGE(OFFSET($GY$3,0,0,'Données projet'!$E$18+1,1))-AVERAGE(OFFSET($H$3,0,0,'Données projet'!$E$18+1,1))</f>
        <v>#N/A</v>
      </c>
      <c r="HA42" s="60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25">
      <c r="A43" s="11">
        <f t="shared" si="31"/>
        <v>40</v>
      </c>
      <c r="B43" s="74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2">
        <f t="shared" si="32"/>
        <v>0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0</v>
      </c>
      <c r="H43" s="67">
        <f t="shared" si="1"/>
        <v>256.66666666666669</v>
      </c>
      <c r="I43" s="7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>
        <f>VLOOKUP(A43,'Données projet'!$A$35:$I$55,2,0)</f>
        <v>177.56410256410257</v>
      </c>
      <c r="L43" s="13">
        <f>VLOOKUP(A43,'Données projet'!$A$35:$I$55,9,0)</f>
        <v>6.7948717948717956</v>
      </c>
      <c r="M43" s="13">
        <f t="array" ref="M43">INDEX(L:L,MIN(IF(ISNUMBER(L43:L239),ROW(L43:L239),"")))</f>
        <v>6.7948717948717956</v>
      </c>
      <c r="N43" s="14">
        <f>IF('Données projet'!$A$36&gt;35,N42+M43-V42,IF(A43&lt;'Données projet'!$A$36,$K$205^A43,IF(A43='Données projet'!$A$36,'Données projet'!$B$36,N42+M43-V42)))</f>
        <v>177.56410256410257</v>
      </c>
      <c r="O43" s="14">
        <f>N43*VLOOKUP('Données projet'!$B$9,Paramètres!$A$1:$I$89,3,0)*VLOOKUP('Données projet'!$B$9,Paramètres!$A$1:$I$89,5,0)</f>
        <v>168.97000000000003</v>
      </c>
      <c r="P43" s="14">
        <f t="shared" si="33"/>
        <v>42.85925631971174</v>
      </c>
      <c r="Q43" s="22">
        <f t="shared" si="53"/>
        <v>368.93595475683128</v>
      </c>
      <c r="R43" s="60">
        <f t="shared" si="0"/>
        <v>662.26928809016454</v>
      </c>
      <c r="S43" s="60">
        <f ca="1">AVERAGE(OFFSET($R$3,0,0,'Données projet'!$E$9+1,1))-AVERAGE(OFFSET($H$3,0,0,'Données projet'!$E$9+1,1))</f>
        <v>403.49781966317852</v>
      </c>
      <c r="T43" s="60">
        <f t="shared" si="34"/>
        <v>326.06674572505409</v>
      </c>
      <c r="U43" s="16">
        <f>IF(ISNA(VLOOKUP(A43,'Données projet'!$A$35:$I$55,3,0)),0,VLOOKUP(A43,'Données projet'!$A$35:$I$55,3,0))</f>
        <v>3</v>
      </c>
      <c r="V43" s="16">
        <f>IF(ISNA(VLOOKUP(A43,'Données projet'!$A$35:$I$55,4,0)),0,VLOOKUP(A43,'Données projet'!$A$35:$I$55,4,0))</f>
        <v>34.615384615384613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0</v>
      </c>
      <c r="AA43" s="23">
        <f>EXP(-LN(2)/25)*AA42+(1-EXP(-LN(2)/25))/(LN(2)/25)*Calculateur!V43*Calculateur!X43*VLOOKUP('Données projet'!$B$9,Paramètres!$A$1:$I$89,3,0)*0.475*44/12</f>
        <v>0</v>
      </c>
      <c r="AB43" s="23">
        <f>EXP(-LN(2)/2)*AB42+(1-EXP(-LN(2)/2))/(LN(2)/2)*V43*Y43*VLOOKUP('Données projet'!$B$9,Paramètres!$A$1:$I$89,3,0)*0.475*44/12</f>
        <v>0</v>
      </c>
      <c r="AC43" s="24">
        <f t="shared" si="3"/>
        <v>0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>
        <f>VLOOKUP(A43,'Données projet'!$A$61:$I$81,2,0)</f>
        <v>153</v>
      </c>
      <c r="AG43" s="13">
        <f>VLOOKUP(A43,'Données projet'!$A$61:$I$81,9,0)</f>
        <v>7.6</v>
      </c>
      <c r="AH43" s="13">
        <f t="array" ref="AH43">INDEX(AG:AG,MIN(IF(ISNUMBER(AG43:AG239),ROW(AG43:AG239),"")))</f>
        <v>7.6</v>
      </c>
      <c r="AI43" s="14">
        <f>IF('Données projet'!$A$62&gt;35,AI42+AH43-AQ42,IF(A43&lt;'Données projet'!$A$62,$AF$205^A43,IF(A43='Données projet'!$A$62,'Données projet'!$B$62,AI42+AH43-AQ42)))</f>
        <v>152.99999999999994</v>
      </c>
      <c r="AJ43" s="14">
        <f>AI43*VLOOKUP('Données projet'!$B$10,Paramètres!$A$1:$I$89,3,0)*VLOOKUP('Données projet'!$B$10,Paramètres!$A$1:$I$89,5,0)</f>
        <v>133.66079999999997</v>
      </c>
      <c r="AK43" s="14">
        <f t="shared" si="35"/>
        <v>34.840890682716719</v>
      </c>
      <c r="AL43" s="22">
        <f t="shared" si="4"/>
        <v>293.47377793906486</v>
      </c>
      <c r="AM43" s="60">
        <f t="shared" si="5"/>
        <v>586.80711127239817</v>
      </c>
      <c r="AN43" s="60">
        <f ca="1">AVERAGE(OFFSET($AM$3,0,0,'Données projet'!$E$10+1,1))-AVERAGE(OFFSET($H$3,0,0,'Données projet'!$E$10+1,1))</f>
        <v>274.66236526869056</v>
      </c>
      <c r="AO43" s="60">
        <f t="shared" si="36"/>
        <v>256.90876395053073</v>
      </c>
      <c r="AP43" s="16">
        <f>IF(ISNA(VLOOKUP(A43,'Données projet'!$A$61:$I$81,3,0)),0,VLOOKUP(A43,'Données projet'!$A$61:$I$81,3,0))</f>
        <v>0</v>
      </c>
      <c r="AQ43" s="16">
        <f>IF(ISNA(VLOOKUP(A43,'Données projet'!$A$61:$I$81,4,0)),0,VLOOKUP(A43,'Données projet'!$A$61:$I$81,4,0))</f>
        <v>0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>
        <f>EXP(-LN(2)/35)*AU42+(1-EXP(-LN(2)/35))/(LN(2)/35)*AQ43*AR43*VLOOKUP('Données projet'!$B$10,Paramètres!$A$1:$I$89,3,0)*0.475*44/12</f>
        <v>0</v>
      </c>
      <c r="AV43" s="23">
        <f>EXP(-LN(2)/25)*AV42+(1-EXP(-LN(2)/25))/(LN(2)/25)*Calculateur!AQ43*Calculateur!AS43*VLOOKUP('Données projet'!$B$10,Paramètres!$A$1:$I$89,3,0)*0.475*44/12</f>
        <v>0</v>
      </c>
      <c r="AW43" s="23">
        <f>EXP(-LN(2)/2)*AW42+(1-EXP(-LN(2)/2))/(LN(2)/2)*AQ43*AT43*VLOOKUP('Données projet'!$B$10,Paramètres!$A$1:$I$89,3,0)*0.475*44/12</f>
        <v>0</v>
      </c>
      <c r="AX43" s="23">
        <f t="shared" si="6"/>
        <v>0</v>
      </c>
      <c r="AY43" s="76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>
        <f>VLOOKUP(A43,'Données projet'!$A$87:$I$107,2,0)</f>
        <v>175</v>
      </c>
      <c r="BB43" s="13">
        <f>VLOOKUP(A43,'Données projet'!$A$87:$I$107,9,0)</f>
        <v>11.2</v>
      </c>
      <c r="BC43" s="13">
        <f t="array" ref="BC43">INDEX(BB:BB,MIN(IF(ISNUMBER(BB43:BB239),ROW(BB43:BB239),"")))</f>
        <v>11.2</v>
      </c>
      <c r="BD43" s="13">
        <f>IF('Données projet'!$A$88&gt;35,BD42+BC43-BL42,IF(A43&lt;'Données projet'!$A$88,$BA$205^A43,IF(A43='Données projet'!$A$88,'Données projet'!$B$88,BD42+BC43-BL42)))</f>
        <v>175.00000000000003</v>
      </c>
      <c r="BE43" s="14">
        <f>BD43*VLOOKUP('Données projet'!$B$11,Paramètres!$A$1:$I$89,3,0)*VLOOKUP('Données projet'!$B$11,Paramètres!$A$1:$I$89,5,0)</f>
        <v>158.34000000000003</v>
      </c>
      <c r="BF43" s="14">
        <f t="shared" si="37"/>
        <v>40.467870812652819</v>
      </c>
      <c r="BG43" s="22">
        <f t="shared" si="7"/>
        <v>346.25704166537042</v>
      </c>
      <c r="BH43" s="60">
        <f t="shared" si="8"/>
        <v>639.59037499870374</v>
      </c>
      <c r="BI43" s="60">
        <f ca="1">AVERAGE(OFFSET($BH$3,0,0,'Données projet'!$E$11+1,1))-AVERAGE(OFFSET($H$3,0,0,'Données projet'!$E$11+1,1))</f>
        <v>529.25712986118265</v>
      </c>
      <c r="BJ43" s="60">
        <f t="shared" si="38"/>
        <v>278.21741231699929</v>
      </c>
      <c r="BK43" s="16">
        <f>IF(ISNA(VLOOKUP(A43,'Données projet'!$A$87:$I$107,3,0)),0,VLOOKUP(A43,'Données projet'!$A$87:$I$107,3,0))</f>
        <v>0</v>
      </c>
      <c r="BL43" s="16">
        <f>IF(ISNA(VLOOKUP(A43,'Données projet'!$A$87:$I$107,4,0)),0,VLOOKUP(A43,'Données projet'!$A$87:$I$107,4,0))</f>
        <v>0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>
        <f>EXP(-LN(2)/35)*BP42+(1-EXP(-LN(2)/35))/(LN(2)/35)*BL43*BM43*VLOOKUP('Données projet'!$B$11,Paramètres!$A$1:$I$89,3,0)*0.475*44/12</f>
        <v>0</v>
      </c>
      <c r="BQ43" s="23">
        <f>EXP(-LN(2)/25)*BQ42+(1-EXP(-LN(2)/25))/(LN(2)/25)*Calculateur!BL43*Calculateur!BN43*VLOOKUP('Données projet'!$B$11,Paramètres!$A$1:$I$89,3,0)*0.475*44/12</f>
        <v>0</v>
      </c>
      <c r="BR43" s="23">
        <f>EXP(-LN(2)/2)*BR42+(1-EXP(-LN(2)/2))/(LN(2)/2)*BL43*BO43*VLOOKUP('Données projet'!$B$11,Paramètres!$A$1:$I$89,3,0)*0.475*44/12</f>
        <v>0</v>
      </c>
      <c r="BS43" s="24">
        <f t="shared" si="9"/>
        <v>0</v>
      </c>
      <c r="BT43" s="77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>
        <f>VLOOKUP(A43,'Données projet'!$A$113:$I$133,2,0)</f>
        <v>175</v>
      </c>
      <c r="BW43" s="13">
        <f>VLOOKUP(A43,'Données projet'!$A$113:$I$133,9,0)</f>
        <v>11.2</v>
      </c>
      <c r="BX43" s="13">
        <f t="array" ref="BX43">INDEX(BW:BW,MIN(IF(ISNUMBER(BW43:BW239),ROW(BW43:BW239),"")))</f>
        <v>11.2</v>
      </c>
      <c r="BY43" s="13">
        <f>IF('Données projet'!$A$114&gt;35,BY42+BX43-CG42,IF(A43&lt;'Données projet'!$A$114,$BV$205^A43,IF(A43='Données projet'!$A$114,'Données projet'!$B$114,BY42+BX43-CG42)))</f>
        <v>175.00000000000003</v>
      </c>
      <c r="BZ43" s="14">
        <f>BY43*VLOOKUP('Données projet'!$B$12,Paramètres!$A$1:$I$89,3,0)*VLOOKUP('Données projet'!$B$12,Paramètres!$A$1:$I$89,5,0)</f>
        <v>177.45000000000005</v>
      </c>
      <c r="CA43" s="14">
        <f t="shared" si="39"/>
        <v>44.754387900936791</v>
      </c>
      <c r="CB43" s="22">
        <f t="shared" si="10"/>
        <v>387.00597559413171</v>
      </c>
      <c r="CC43" s="60">
        <f t="shared" si="11"/>
        <v>680.33930892746503</v>
      </c>
      <c r="CD43" s="60">
        <f ca="1">AVERAGE(OFFSET($CC$3,0,0,'Données projet'!$E$12+1,1))-AVERAGE(OFFSET($H$3,0,0,'Données projet'!$E$12+1,1))</f>
        <v>587.74247372331615</v>
      </c>
      <c r="CE43" s="60">
        <f t="shared" si="40"/>
        <v>306.61893266146666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>
        <f>EXP(-LN(2)/35)*CK42+(1-EXP(-LN(2)/35))/(LN(2)/35)*CG43*CH43*VLOOKUP('Données projet'!$B$12,Paramètres!$A$1:$I$89,3,0)*0.475*44/12</f>
        <v>0</v>
      </c>
      <c r="CL43" s="23">
        <f>EXP(-LN(2)/25)*CL42+(1-EXP(-LN(2)/25))/(LN(2)/25)*Calculateur!CG43*Calculateur!CI43*VLOOKUP('Données projet'!$B$12,Paramètres!$A$1:$I$89,3,0)*0.475*44/12</f>
        <v>0</v>
      </c>
      <c r="CM43" s="23">
        <f>EXP(-LN(2)/2)*CM42+(1-EXP(-LN(2)/2))/(LN(2)/2)*CG43*CJ43*VLOOKUP('Données projet'!$B$12,Paramètres!$A$1:$I$89,3,0)*0.475*44/12</f>
        <v>0</v>
      </c>
      <c r="CN43" s="24">
        <f t="shared" si="12"/>
        <v>0</v>
      </c>
      <c r="CO43" s="77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>
        <f>VLOOKUP(A43,'Données projet'!$A$139:$I$159,2,0)</f>
        <v>175</v>
      </c>
      <c r="CR43" s="13">
        <f>VLOOKUP(A43,'Données projet'!$A$139:$I$159,9,0)</f>
        <v>11.2</v>
      </c>
      <c r="CS43" s="13">
        <f t="array" ref="CS43">INDEX(CR:CR,MIN(IF(ISNUMBER(CR43:CR239),ROW(CR43:CR239),"")))</f>
        <v>11.2</v>
      </c>
      <c r="CT43" s="13">
        <f>IF('Données projet'!$A$140&gt;35,CT42+CS43-DB42,IF(A43&lt;'Données projet'!$A$140,$CQ$205^A43,IF(A43='Données projet'!$A$140,'Données projet'!$B$140,CT42+CS43-DB42)))</f>
        <v>175.00000000000003</v>
      </c>
      <c r="CU43" s="18">
        <f>CT43*VLOOKUP('Données projet'!$B$13,Paramètres!$A$1:$I$89,3,0)*VLOOKUP('Données projet'!$B$13,Paramètres!$A$1:$I$89,5,0)</f>
        <v>188.37000000000003</v>
      </c>
      <c r="CV43" s="14">
        <f t="shared" si="41"/>
        <v>47.179402486491298</v>
      </c>
      <c r="CW43" s="22">
        <f t="shared" si="13"/>
        <v>410.24854266397239</v>
      </c>
      <c r="CX43" s="60">
        <f t="shared" si="14"/>
        <v>703.5818759973057</v>
      </c>
      <c r="CY43" s="60">
        <f ca="1">AVERAGE(OFFSET($CX$3,0,0,'Données projet'!$E$13+1,1))-AVERAGE(OFFSET($H$3,0,0,'Données projet'!$E$13+1,1))</f>
        <v>621.10465023992288</v>
      </c>
      <c r="CZ43" s="60">
        <f t="shared" si="42"/>
        <v>322.81767004794284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>
        <f>EXP(-LN(2)/35)*DF42+(1-EXP(-LN(2)/35))/(LN(2)/35)*DB43*DC43*VLOOKUP('Données projet'!$B$13,Paramètres!$A$1:$I$89,3,0)*0.475*44/12</f>
        <v>0</v>
      </c>
      <c r="DG43" s="23">
        <f>EXP(-LN(2)/25)*DG42+(1-EXP(-LN(2)/25))/(LN(2)/25)*Calculateur!DB43*Calculateur!DD43*VLOOKUP('Données projet'!$B$13,Paramètres!$A$1:$I$89,3,0)*0.475*44/12</f>
        <v>0</v>
      </c>
      <c r="DH43" s="23">
        <f>EXP(-LN(2)/2)*DH42+(1-EXP(-LN(2)/2))/(LN(2)/2)*DB43*DE43*VLOOKUP('Données projet'!$B$13,Paramètres!$A$1:$I$89,3,0)*0.475*44/12</f>
        <v>0</v>
      </c>
      <c r="DI43" s="24">
        <f t="shared" si="15"/>
        <v>0</v>
      </c>
      <c r="DJ43" s="77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>
        <f>VLOOKUP(A43,'Données projet'!$A$165:$I$185,2,0)</f>
        <v>175</v>
      </c>
      <c r="DM43" s="13">
        <f>VLOOKUP(A43,'Données projet'!$A$165:$I$185,9,0)</f>
        <v>11.2</v>
      </c>
      <c r="DN43" s="13">
        <f t="array" ref="DN43">INDEX(DM:DM,MIN(IF(ISNUMBER(DM43:DM239),ROW(DM43:DM239),"")))</f>
        <v>11.2</v>
      </c>
      <c r="DO43" s="13">
        <f>IF('Données projet'!$A$166&gt;35,DO42+DN43-DW42,IF(A43&lt;'Données projet'!$A$166,$DL$205^A43,IF(A43='Données projet'!$A$166,'Données projet'!$B$166,DO42+DN43-DW42)))</f>
        <v>175.00000000000003</v>
      </c>
      <c r="DP43" s="18">
        <f>DO43*VLOOKUP('Données projet'!$B$14,Paramètres!$A$1:$I$89,3,0)*VLOOKUP('Données projet'!$B$14,Paramètres!$A$1:$I$89,5,0)</f>
        <v>169.26000000000002</v>
      </c>
      <c r="DQ43" s="14">
        <f t="shared" si="43"/>
        <v>42.924246146122272</v>
      </c>
      <c r="DR43" s="22">
        <f t="shared" si="16"/>
        <v>369.55422870449632</v>
      </c>
      <c r="DS43" s="60">
        <f t="shared" si="17"/>
        <v>662.88756203782964</v>
      </c>
      <c r="DT43" s="60">
        <f ca="1">AVERAGE(OFFSET($DS$3,0,0,'Données projet'!$E$14+1,1))-AVERAGE(OFFSET($H$3,0,0,'Données projet'!$E$14+1,1))</f>
        <v>562.69380557620775</v>
      </c>
      <c r="DU43" s="60">
        <f t="shared" si="44"/>
        <v>294.45557293177131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>
        <f>EXP(-LN(2)/35)*EA42+(1-EXP(-LN(2)/35))/(LN(2)/35)*DW43*DX43*VLOOKUP('Données projet'!$B$14,Paramètres!$A$1:$I$89,3,0)*0.475*44/12</f>
        <v>0</v>
      </c>
      <c r="EB43" s="23">
        <f>EXP(-LN(2)/25)*EB42+(1-EXP(-LN(2)/25))/(LN(2)/25)*Calculateur!DW43*Calculateur!DY43*VLOOKUP('Données projet'!$B$14,Paramètres!$A$1:$I$89,3,0)*0.475*44/12</f>
        <v>0</v>
      </c>
      <c r="EC43" s="23">
        <f>EXP(-LN(2)/2)*EC42+(1-EXP(-LN(2)/2))/(LN(2)/2)*DW43*DZ43*VLOOKUP('Données projet'!$B$14,Paramètres!$A$1:$I$89,3,0)*0.475*44/12</f>
        <v>0</v>
      </c>
      <c r="ED43" s="24">
        <f t="shared" si="18"/>
        <v>0</v>
      </c>
      <c r="EE43" s="77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11.142857142857142</v>
      </c>
      <c r="EJ43" s="13">
        <f>IF('Données projet'!$A$192&gt;35,EJ42+EI43-ER42,IF(A43&lt;'Données projet'!$A$192,$EG$205^A43,IF(A43='Données projet'!$A$192,'Données projet'!$B$192,EJ42+EI43-ER42)))</f>
        <v>185.42857142857139</v>
      </c>
      <c r="EK43" s="18">
        <f>EJ43*VLOOKUP('Données projet'!$B$15,Paramètres!$A$1:$I$89,3,0)*VLOOKUP('Données projet'!$B$15,Paramètres!$A$1:$I$89,5,0)</f>
        <v>144.63428571428568</v>
      </c>
      <c r="EL43" s="14">
        <f t="shared" si="45"/>
        <v>37.356634728420524</v>
      </c>
      <c r="EM43" s="22">
        <f t="shared" si="19"/>
        <v>316.96751977104663</v>
      </c>
      <c r="EN43" s="60">
        <f t="shared" si="20"/>
        <v>610.30085310437994</v>
      </c>
      <c r="EO43" s="60">
        <f ca="1">AVERAGE(OFFSET($EN$3,0,0,'Données projet'!$E$15+1,1))-AVERAGE(OFFSET($H$3,0,0,'Données projet'!$E$15+1,1))</f>
        <v>292.57482726862594</v>
      </c>
      <c r="EP43" s="60">
        <f t="shared" si="46"/>
        <v>283.48738729114024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>
        <f>EXP(-LN(2)/35)*EV42+(1-EXP(-LN(2)/35))/(LN(2)/35)*ER43*ES43*VLOOKUP('Données projet'!$B$15,Paramètres!$A$1:$I$89,3,0)*0.475*44/12</f>
        <v>0</v>
      </c>
      <c r="EW43" s="23">
        <f>EXP(-LN(2)/25)*EW42+(1-EXP(-LN(2)/25))/(LN(2)/25)*Calculateur!ER43*Calculateur!ET43*VLOOKUP('Données projet'!$B$15,Paramètres!$A$1:$I$89,3,0)*0.475*44/12</f>
        <v>0</v>
      </c>
      <c r="EX43" s="23">
        <f>EXP(-LN(2)/2)*EX42+(1-EXP(-LN(2)/2))/(LN(2)/2)*ER43*EU43*VLOOKUP('Données projet'!$B$15,Paramètres!$A$1:$I$89,3,0)*0.475*44/12</f>
        <v>0</v>
      </c>
      <c r="EY43" s="24">
        <f t="shared" si="21"/>
        <v>0</v>
      </c>
      <c r="EZ43" s="77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0" t="e">
        <f t="shared" si="23"/>
        <v>#N/A</v>
      </c>
      <c r="FJ43" s="60" t="e">
        <f ca="1">AVERAGE(OFFSET($FI$3,0,0,'Données projet'!$E$16+1,1))-AVERAGE(OFFSET($H$3,0,0,'Données projet'!$E$16+1,1))</f>
        <v>#N/A</v>
      </c>
      <c r="FK43" s="60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77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0" t="e">
        <f t="shared" si="26"/>
        <v>#N/A</v>
      </c>
      <c r="GE43" s="60" t="e">
        <f ca="1">AVERAGE(OFFSET($GD$3,0,0,'Données projet'!$E$17+1,1))-AVERAGE(OFFSET($H$3,0,0,'Données projet'!$E$17+1,1))</f>
        <v>#N/A</v>
      </c>
      <c r="GF43" s="60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77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0" t="e">
        <f t="shared" si="29"/>
        <v>#N/A</v>
      </c>
      <c r="GZ43" s="60" t="e">
        <f ca="1">AVERAGE(OFFSET($GY$3,0,0,'Données projet'!$E$18+1,1))-AVERAGE(OFFSET($H$3,0,0,'Données projet'!$E$18+1,1))</f>
        <v>#N/A</v>
      </c>
      <c r="HA43" s="60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25">
      <c r="A44" s="11">
        <f t="shared" si="31"/>
        <v>41</v>
      </c>
      <c r="B44" s="74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2">
        <f t="shared" si="32"/>
        <v>0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0</v>
      </c>
      <c r="H44" s="67">
        <f t="shared" si="1"/>
        <v>256.66666666666669</v>
      </c>
      <c r="I44" s="7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6.2820512820512819</v>
      </c>
      <c r="N44" s="14">
        <f>IF('Données projet'!$A$36&gt;35,N43+M44-V43,IF(A44&lt;'Données projet'!$A$36,$K$205^A44,IF(A44='Données projet'!$A$36,'Données projet'!$B$36,N43+M44-V43)))</f>
        <v>149.23076923076923</v>
      </c>
      <c r="O44" s="14">
        <f>N44*VLOOKUP('Données projet'!$B$9,Paramètres!$A$1:$I$89,3,0)*VLOOKUP('Données projet'!$B$9,Paramètres!$A$1:$I$89,5,0)</f>
        <v>142.00799999999998</v>
      </c>
      <c r="P44" s="14">
        <f t="shared" si="33"/>
        <v>36.756628141049653</v>
      </c>
      <c r="Q44" s="22">
        <f t="shared" si="53"/>
        <v>311.34839401232813</v>
      </c>
      <c r="R44" s="60">
        <f t="shared" si="0"/>
        <v>604.68172734566144</v>
      </c>
      <c r="S44" s="60">
        <f ca="1">AVERAGE(OFFSET($R$3,0,0,'Données projet'!$E$9+1,1))-AVERAGE(OFFSET($H$3,0,0,'Données projet'!$E$9+1,1))</f>
        <v>403.49781966317852</v>
      </c>
      <c r="T44" s="60">
        <f t="shared" si="34"/>
        <v>326.06674572505409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0</v>
      </c>
      <c r="AA44" s="23">
        <f>EXP(-LN(2)/25)*AA43+(1-EXP(-LN(2)/25))/(LN(2)/25)*Calculateur!V44*Calculateur!X44*VLOOKUP('Données projet'!$B$9,Paramètres!$A$1:$I$89,3,0)*0.475*44/12</f>
        <v>0</v>
      </c>
      <c r="AB44" s="23">
        <f>EXP(-LN(2)/2)*AB43+(1-EXP(-LN(2)/2))/(LN(2)/2)*V44*Y44*VLOOKUP('Données projet'!$B$9,Paramètres!$A$1:$I$89,3,0)*0.475*44/12</f>
        <v>0</v>
      </c>
      <c r="AC44" s="24">
        <f t="shared" si="3"/>
        <v>0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6.6</v>
      </c>
      <c r="AI44" s="14">
        <f>IF('Données projet'!$A$62&gt;35,AI43+AH44-AQ43,IF(A44&lt;'Données projet'!$A$62,$AF$205^A44,IF(A44='Données projet'!$A$62,'Données projet'!$B$62,AI43+AH44-AQ43)))</f>
        <v>159.59999999999994</v>
      </c>
      <c r="AJ44" s="14">
        <f>AI44*VLOOKUP('Données projet'!$B$10,Paramètres!$A$1:$I$89,3,0)*VLOOKUP('Données projet'!$B$10,Paramètres!$A$1:$I$89,5,0)</f>
        <v>139.42655999999997</v>
      </c>
      <c r="AK44" s="14">
        <f t="shared" si="35"/>
        <v>36.165607079455818</v>
      </c>
      <c r="AL44" s="22">
        <f t="shared" si="4"/>
        <v>305.82302433005208</v>
      </c>
      <c r="AM44" s="60">
        <f t="shared" si="5"/>
        <v>599.15635766338539</v>
      </c>
      <c r="AN44" s="60">
        <f ca="1">AVERAGE(OFFSET($AM$3,0,0,'Données projet'!$E$10+1,1))-AVERAGE(OFFSET($H$3,0,0,'Données projet'!$E$10+1,1))</f>
        <v>274.66236526869056</v>
      </c>
      <c r="AO44" s="60">
        <f t="shared" si="36"/>
        <v>256.90876395053073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>
        <f>EXP(-LN(2)/35)*AU43+(1-EXP(-LN(2)/35))/(LN(2)/35)*AQ44*AR44*VLOOKUP('Données projet'!$B$10,Paramètres!$A$1:$I$89,3,0)*0.475*44/12</f>
        <v>0</v>
      </c>
      <c r="AV44" s="23">
        <f>EXP(-LN(2)/25)*AV43+(1-EXP(-LN(2)/25))/(LN(2)/25)*Calculateur!AQ44*Calculateur!AS44*VLOOKUP('Données projet'!$B$10,Paramètres!$A$1:$I$89,3,0)*0.475*44/12</f>
        <v>0</v>
      </c>
      <c r="AW44" s="23">
        <f>EXP(-LN(2)/2)*AW43+(1-EXP(-LN(2)/2))/(LN(2)/2)*AQ44*AT44*VLOOKUP('Données projet'!$B$10,Paramètres!$A$1:$I$89,3,0)*0.475*44/12</f>
        <v>0</v>
      </c>
      <c r="AX44" s="23">
        <f t="shared" si="6"/>
        <v>0</v>
      </c>
      <c r="AY44" s="76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11.4</v>
      </c>
      <c r="BD44" s="13">
        <f>IF('Données projet'!$A$88&gt;35,BD43+BC44-BL43,IF(A44&lt;'Données projet'!$A$88,$BA$205^A44,IF(A44='Données projet'!$A$88,'Données projet'!$B$88,BD43+BC44-BL43)))</f>
        <v>186.40000000000003</v>
      </c>
      <c r="BE44" s="14">
        <f>BD44*VLOOKUP('Données projet'!$B$11,Paramètres!$A$1:$I$89,3,0)*VLOOKUP('Données projet'!$B$11,Paramètres!$A$1:$I$89,5,0)</f>
        <v>168.65472000000003</v>
      </c>
      <c r="BF44" s="14">
        <f t="shared" si="37"/>
        <v>42.78858644059585</v>
      </c>
      <c r="BG44" s="22">
        <f t="shared" si="7"/>
        <v>368.2637587173711</v>
      </c>
      <c r="BH44" s="60">
        <f t="shared" si="8"/>
        <v>661.59709205070442</v>
      </c>
      <c r="BI44" s="60">
        <f ca="1">AVERAGE(OFFSET($BH$3,0,0,'Données projet'!$E$11+1,1))-AVERAGE(OFFSET($H$3,0,0,'Données projet'!$E$11+1,1))</f>
        <v>529.25712986118265</v>
      </c>
      <c r="BJ44" s="60">
        <f t="shared" si="38"/>
        <v>278.21741231699929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>
        <f>EXP(-LN(2)/35)*BP43+(1-EXP(-LN(2)/35))/(LN(2)/35)*BL44*BM44*VLOOKUP('Données projet'!$B$11,Paramètres!$A$1:$I$89,3,0)*0.475*44/12</f>
        <v>0</v>
      </c>
      <c r="BQ44" s="23">
        <f>EXP(-LN(2)/25)*BQ43+(1-EXP(-LN(2)/25))/(LN(2)/25)*Calculateur!BL44*Calculateur!BN44*VLOOKUP('Données projet'!$B$11,Paramètres!$A$1:$I$89,3,0)*0.475*44/12</f>
        <v>0</v>
      </c>
      <c r="BR44" s="23">
        <f>EXP(-LN(2)/2)*BR43+(1-EXP(-LN(2)/2))/(LN(2)/2)*BL44*BO44*VLOOKUP('Données projet'!$B$11,Paramètres!$A$1:$I$89,3,0)*0.475*44/12</f>
        <v>0</v>
      </c>
      <c r="BS44" s="24">
        <f t="shared" si="9"/>
        <v>0</v>
      </c>
      <c r="BT44" s="77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11.4</v>
      </c>
      <c r="BY44" s="13">
        <f>IF('Données projet'!$A$114&gt;35,BY43+BX44-CG43,IF(A44&lt;'Données projet'!$A$114,$BV$205^A44,IF(A44='Données projet'!$A$114,'Données projet'!$B$114,BY43+BX44-CG43)))</f>
        <v>186.40000000000003</v>
      </c>
      <c r="BZ44" s="14">
        <f>BY44*VLOOKUP('Données projet'!$B$12,Paramètres!$A$1:$I$89,3,0)*VLOOKUP('Données projet'!$B$12,Paramètres!$A$1:$I$89,5,0)</f>
        <v>189.00960000000003</v>
      </c>
      <c r="CA44" s="14">
        <f t="shared" si="39"/>
        <v>47.320922915876508</v>
      </c>
      <c r="CB44" s="22">
        <f t="shared" si="10"/>
        <v>411.60899407848501</v>
      </c>
      <c r="CC44" s="60">
        <f t="shared" si="11"/>
        <v>704.94232741181827</v>
      </c>
      <c r="CD44" s="60">
        <f ca="1">AVERAGE(OFFSET($CC$3,0,0,'Données projet'!$E$12+1,1))-AVERAGE(OFFSET($H$3,0,0,'Données projet'!$E$12+1,1))</f>
        <v>587.74247372331615</v>
      </c>
      <c r="CE44" s="60">
        <f t="shared" si="40"/>
        <v>306.61893266146666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>
        <f>EXP(-LN(2)/35)*CK43+(1-EXP(-LN(2)/35))/(LN(2)/35)*CG44*CH44*VLOOKUP('Données projet'!$B$12,Paramètres!$A$1:$I$89,3,0)*0.475*44/12</f>
        <v>0</v>
      </c>
      <c r="CL44" s="23">
        <f>EXP(-LN(2)/25)*CL43+(1-EXP(-LN(2)/25))/(LN(2)/25)*Calculateur!CG44*Calculateur!CI44*VLOOKUP('Données projet'!$B$12,Paramètres!$A$1:$I$89,3,0)*0.475*44/12</f>
        <v>0</v>
      </c>
      <c r="CM44" s="23">
        <f>EXP(-LN(2)/2)*CM43+(1-EXP(-LN(2)/2))/(LN(2)/2)*CG44*CJ44*VLOOKUP('Données projet'!$B$12,Paramètres!$A$1:$I$89,3,0)*0.475*44/12</f>
        <v>0</v>
      </c>
      <c r="CN44" s="24">
        <f t="shared" si="12"/>
        <v>0</v>
      </c>
      <c r="CO44" s="77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11.4</v>
      </c>
      <c r="CT44" s="13">
        <f>IF('Données projet'!$A$140&gt;35,CT43+CS44-DB43,IF(A44&lt;'Données projet'!$A$140,$CQ$205^A44,IF(A44='Données projet'!$A$140,'Données projet'!$B$140,CT43+CS44-DB43)))</f>
        <v>186.40000000000003</v>
      </c>
      <c r="CU44" s="18">
        <f>CT44*VLOOKUP('Données projet'!$B$13,Paramètres!$A$1:$I$89,3,0)*VLOOKUP('Données projet'!$B$13,Paramètres!$A$1:$I$89,5,0)</f>
        <v>200.64096000000004</v>
      </c>
      <c r="CV44" s="14">
        <f t="shared" si="41"/>
        <v>49.885005090945128</v>
      </c>
      <c r="CW44" s="22">
        <f t="shared" si="13"/>
        <v>436.33272253339618</v>
      </c>
      <c r="CX44" s="60">
        <f t="shared" si="14"/>
        <v>729.66605586672949</v>
      </c>
      <c r="CY44" s="60">
        <f ca="1">AVERAGE(OFFSET($CX$3,0,0,'Données projet'!$E$13+1,1))-AVERAGE(OFFSET($H$3,0,0,'Données projet'!$E$13+1,1))</f>
        <v>621.10465023992288</v>
      </c>
      <c r="CZ44" s="60">
        <f t="shared" si="42"/>
        <v>322.81767004794284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>
        <f>EXP(-LN(2)/35)*DF43+(1-EXP(-LN(2)/35))/(LN(2)/35)*DB44*DC44*VLOOKUP('Données projet'!$B$13,Paramètres!$A$1:$I$89,3,0)*0.475*44/12</f>
        <v>0</v>
      </c>
      <c r="DG44" s="23">
        <f>EXP(-LN(2)/25)*DG43+(1-EXP(-LN(2)/25))/(LN(2)/25)*Calculateur!DB44*Calculateur!DD44*VLOOKUP('Données projet'!$B$13,Paramètres!$A$1:$I$89,3,0)*0.475*44/12</f>
        <v>0</v>
      </c>
      <c r="DH44" s="23">
        <f>EXP(-LN(2)/2)*DH43+(1-EXP(-LN(2)/2))/(LN(2)/2)*DB44*DE44*VLOOKUP('Données projet'!$B$13,Paramètres!$A$1:$I$89,3,0)*0.475*44/12</f>
        <v>0</v>
      </c>
      <c r="DI44" s="24">
        <f t="shared" si="15"/>
        <v>0</v>
      </c>
      <c r="DJ44" s="77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11.4</v>
      </c>
      <c r="DO44" s="13">
        <f>IF('Données projet'!$A$166&gt;35,DO43+DN44-DW43,IF(A44&lt;'Données projet'!$A$166,$DL$205^A44,IF(A44='Données projet'!$A$166,'Données projet'!$B$166,DO43+DN44-DW43)))</f>
        <v>186.40000000000003</v>
      </c>
      <c r="DP44" s="18">
        <f>DO44*VLOOKUP('Données projet'!$B$14,Paramètres!$A$1:$I$89,3,0)*VLOOKUP('Données projet'!$B$14,Paramètres!$A$1:$I$89,5,0)</f>
        <v>180.28608000000006</v>
      </c>
      <c r="DQ44" s="14">
        <f t="shared" si="43"/>
        <v>45.38582781198636</v>
      </c>
      <c r="DR44" s="22">
        <f t="shared" si="16"/>
        <v>393.04523943920964</v>
      </c>
      <c r="DS44" s="60">
        <f t="shared" si="17"/>
        <v>686.37857277254295</v>
      </c>
      <c r="DT44" s="60">
        <f ca="1">AVERAGE(OFFSET($DS$3,0,0,'Données projet'!$E$14+1,1))-AVERAGE(OFFSET($H$3,0,0,'Données projet'!$E$14+1,1))</f>
        <v>562.69380557620775</v>
      </c>
      <c r="DU44" s="60">
        <f t="shared" si="44"/>
        <v>294.45557293177131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>
        <f>EXP(-LN(2)/35)*EA43+(1-EXP(-LN(2)/35))/(LN(2)/35)*DW44*DX44*VLOOKUP('Données projet'!$B$14,Paramètres!$A$1:$I$89,3,0)*0.475*44/12</f>
        <v>0</v>
      </c>
      <c r="EB44" s="23">
        <f>EXP(-LN(2)/25)*EB43+(1-EXP(-LN(2)/25))/(LN(2)/25)*Calculateur!DW44*Calculateur!DY44*VLOOKUP('Données projet'!$B$14,Paramètres!$A$1:$I$89,3,0)*0.475*44/12</f>
        <v>0</v>
      </c>
      <c r="EC44" s="23">
        <f>EXP(-LN(2)/2)*EC43+(1-EXP(-LN(2)/2))/(LN(2)/2)*DW44*DZ44*VLOOKUP('Données projet'!$B$14,Paramètres!$A$1:$I$89,3,0)*0.475*44/12</f>
        <v>0</v>
      </c>
      <c r="ED44" s="24">
        <f t="shared" si="18"/>
        <v>0</v>
      </c>
      <c r="EE44" s="77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11.142857142857142</v>
      </c>
      <c r="EJ44" s="13">
        <f>IF('Données projet'!$A$192&gt;35,EJ43+EI44-ER43,IF(A44&lt;'Données projet'!$A$192,$EG$205^A44,IF(A44='Données projet'!$A$192,'Données projet'!$B$192,EJ43+EI44-ER43)))</f>
        <v>196.57142857142853</v>
      </c>
      <c r="EK44" s="18">
        <f>EJ44*VLOOKUP('Données projet'!$B$15,Paramètres!$A$1:$I$89,3,0)*VLOOKUP('Données projet'!$B$15,Paramètres!$A$1:$I$89,5,0)</f>
        <v>153.32571428571427</v>
      </c>
      <c r="EL44" s="14">
        <f t="shared" si="45"/>
        <v>39.33339883761419</v>
      </c>
      <c r="EM44" s="22">
        <f t="shared" si="19"/>
        <v>335.54795535646372</v>
      </c>
      <c r="EN44" s="60">
        <f t="shared" si="20"/>
        <v>628.88128868979697</v>
      </c>
      <c r="EO44" s="60">
        <f ca="1">AVERAGE(OFFSET($EN$3,0,0,'Données projet'!$E$15+1,1))-AVERAGE(OFFSET($H$3,0,0,'Données projet'!$E$15+1,1))</f>
        <v>292.57482726862594</v>
      </c>
      <c r="EP44" s="60">
        <f t="shared" si="46"/>
        <v>283.48738729114024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>
        <f>EXP(-LN(2)/35)*EV43+(1-EXP(-LN(2)/35))/(LN(2)/35)*ER44*ES44*VLOOKUP('Données projet'!$B$15,Paramètres!$A$1:$I$89,3,0)*0.475*44/12</f>
        <v>0</v>
      </c>
      <c r="EW44" s="23">
        <f>EXP(-LN(2)/25)*EW43+(1-EXP(-LN(2)/25))/(LN(2)/25)*Calculateur!ER44*Calculateur!ET44*VLOOKUP('Données projet'!$B$15,Paramètres!$A$1:$I$89,3,0)*0.475*44/12</f>
        <v>0</v>
      </c>
      <c r="EX44" s="23">
        <f>EXP(-LN(2)/2)*EX43+(1-EXP(-LN(2)/2))/(LN(2)/2)*ER44*EU44*VLOOKUP('Données projet'!$B$15,Paramètres!$A$1:$I$89,3,0)*0.475*44/12</f>
        <v>0</v>
      </c>
      <c r="EY44" s="24">
        <f t="shared" si="21"/>
        <v>0</v>
      </c>
      <c r="EZ44" s="77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0" t="e">
        <f t="shared" si="23"/>
        <v>#N/A</v>
      </c>
      <c r="FJ44" s="60" t="e">
        <f ca="1">AVERAGE(OFFSET($FI$3,0,0,'Données projet'!$E$16+1,1))-AVERAGE(OFFSET($H$3,0,0,'Données projet'!$E$16+1,1))</f>
        <v>#N/A</v>
      </c>
      <c r="FK44" s="60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77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0" t="e">
        <f t="shared" si="26"/>
        <v>#N/A</v>
      </c>
      <c r="GE44" s="60" t="e">
        <f ca="1">AVERAGE(OFFSET($GD$3,0,0,'Données projet'!$E$17+1,1))-AVERAGE(OFFSET($H$3,0,0,'Données projet'!$E$17+1,1))</f>
        <v>#N/A</v>
      </c>
      <c r="GF44" s="60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77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0" t="e">
        <f t="shared" si="29"/>
        <v>#N/A</v>
      </c>
      <c r="GZ44" s="60" t="e">
        <f ca="1">AVERAGE(OFFSET($GY$3,0,0,'Données projet'!$E$18+1,1))-AVERAGE(OFFSET($H$3,0,0,'Données projet'!$E$18+1,1))</f>
        <v>#N/A</v>
      </c>
      <c r="HA44" s="60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25">
      <c r="A45" s="11">
        <f t="shared" si="31"/>
        <v>42</v>
      </c>
      <c r="B45" s="74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2">
        <f t="shared" si="32"/>
        <v>0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0</v>
      </c>
      <c r="H45" s="67">
        <f t="shared" si="1"/>
        <v>256.66666666666669</v>
      </c>
      <c r="I45" s="7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6.2820512820512819</v>
      </c>
      <c r="N45" s="14">
        <f>IF('Données projet'!$A$36&gt;35,N44+M45-V44,IF(A45&lt;'Données projet'!$A$36,$K$205^A45,IF(A45='Données projet'!$A$36,'Données projet'!$B$36,N44+M45-V44)))</f>
        <v>155.5128205128205</v>
      </c>
      <c r="O45" s="14">
        <f>N45*VLOOKUP('Données projet'!$B$9,Paramètres!$A$1:$I$89,3,0)*VLOOKUP('Données projet'!$B$9,Paramètres!$A$1:$I$89,5,0)</f>
        <v>147.98599999999999</v>
      </c>
      <c r="P45" s="14">
        <f t="shared" si="33"/>
        <v>38.120537441454239</v>
      </c>
      <c r="Q45" s="22">
        <f t="shared" si="53"/>
        <v>324.13555271053275</v>
      </c>
      <c r="R45" s="60">
        <f t="shared" si="0"/>
        <v>617.46888604386606</v>
      </c>
      <c r="S45" s="60">
        <f ca="1">AVERAGE(OFFSET($R$3,0,0,'Données projet'!$E$9+1,1))-AVERAGE(OFFSET($H$3,0,0,'Données projet'!$E$9+1,1))</f>
        <v>403.49781966317852</v>
      </c>
      <c r="T45" s="60">
        <f t="shared" si="34"/>
        <v>326.06674572505409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0</v>
      </c>
      <c r="AA45" s="23">
        <f>EXP(-LN(2)/25)*AA44+(1-EXP(-LN(2)/25))/(LN(2)/25)*Calculateur!V45*Calculateur!X45*VLOOKUP('Données projet'!$B$9,Paramètres!$A$1:$I$89,3,0)*0.475*44/12</f>
        <v>0</v>
      </c>
      <c r="AB45" s="23">
        <f>EXP(-LN(2)/2)*AB44+(1-EXP(-LN(2)/2))/(LN(2)/2)*V45*Y45*VLOOKUP('Données projet'!$B$9,Paramètres!$A$1:$I$89,3,0)*0.475*44/12</f>
        <v>0</v>
      </c>
      <c r="AC45" s="24">
        <f t="shared" si="3"/>
        <v>0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6.6</v>
      </c>
      <c r="AI45" s="14">
        <f>IF('Données projet'!$A$62&gt;35,AI44+AH45-AQ44,IF(A45&lt;'Données projet'!$A$62,$AF$205^A45,IF(A45='Données projet'!$A$62,'Données projet'!$B$62,AI44+AH45-AQ44)))</f>
        <v>166.19999999999993</v>
      </c>
      <c r="AJ45" s="14">
        <f>AI45*VLOOKUP('Données projet'!$B$10,Paramètres!$A$1:$I$89,3,0)*VLOOKUP('Données projet'!$B$10,Paramètres!$A$1:$I$89,5,0)</f>
        <v>145.19231999999997</v>
      </c>
      <c r="AK45" s="14">
        <f t="shared" si="35"/>
        <v>37.48396031597408</v>
      </c>
      <c r="AL45" s="22">
        <f t="shared" si="4"/>
        <v>318.16118821698814</v>
      </c>
      <c r="AM45" s="60">
        <f t="shared" si="5"/>
        <v>611.49452155032145</v>
      </c>
      <c r="AN45" s="60">
        <f ca="1">AVERAGE(OFFSET($AM$3,0,0,'Données projet'!$E$10+1,1))-AVERAGE(OFFSET($H$3,0,0,'Données projet'!$E$10+1,1))</f>
        <v>274.66236526869056</v>
      </c>
      <c r="AO45" s="60">
        <f t="shared" si="36"/>
        <v>256.90876395053073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>
        <f>EXP(-LN(2)/35)*AU44+(1-EXP(-LN(2)/35))/(LN(2)/35)*AQ45*AR45*VLOOKUP('Données projet'!$B$10,Paramètres!$A$1:$I$89,3,0)*0.475*44/12</f>
        <v>0</v>
      </c>
      <c r="AV45" s="23">
        <f>EXP(-LN(2)/25)*AV44+(1-EXP(-LN(2)/25))/(LN(2)/25)*Calculateur!AQ45*Calculateur!AS45*VLOOKUP('Données projet'!$B$10,Paramètres!$A$1:$I$89,3,0)*0.475*44/12</f>
        <v>0</v>
      </c>
      <c r="AW45" s="23">
        <f>EXP(-LN(2)/2)*AW44+(1-EXP(-LN(2)/2))/(LN(2)/2)*AQ45*AT45*VLOOKUP('Données projet'!$B$10,Paramètres!$A$1:$I$89,3,0)*0.475*44/12</f>
        <v>0</v>
      </c>
      <c r="AX45" s="23">
        <f t="shared" si="6"/>
        <v>0</v>
      </c>
      <c r="AY45" s="76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11.4</v>
      </c>
      <c r="BD45" s="13">
        <f>IF('Données projet'!$A$88&gt;35,BD44+BC45-BL44,IF(A45&lt;'Données projet'!$A$88,$BA$205^A45,IF(A45='Données projet'!$A$88,'Données projet'!$B$88,BD44+BC45-BL44)))</f>
        <v>197.80000000000004</v>
      </c>
      <c r="BE45" s="14">
        <f>BD45*VLOOKUP('Données projet'!$B$11,Paramètres!$A$1:$I$89,3,0)*VLOOKUP('Données projet'!$B$11,Paramètres!$A$1:$I$89,5,0)</f>
        <v>178.96944000000002</v>
      </c>
      <c r="BF45" s="14">
        <f t="shared" si="37"/>
        <v>45.092828990632619</v>
      </c>
      <c r="BG45" s="22">
        <f t="shared" si="7"/>
        <v>390.24178515868516</v>
      </c>
      <c r="BH45" s="60">
        <f t="shared" si="8"/>
        <v>683.57511849201842</v>
      </c>
      <c r="BI45" s="60">
        <f ca="1">AVERAGE(OFFSET($BH$3,0,0,'Données projet'!$E$11+1,1))-AVERAGE(OFFSET($H$3,0,0,'Données projet'!$E$11+1,1))</f>
        <v>529.25712986118265</v>
      </c>
      <c r="BJ45" s="60">
        <f t="shared" si="38"/>
        <v>278.21741231699929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>
        <f>EXP(-LN(2)/35)*BP44+(1-EXP(-LN(2)/35))/(LN(2)/35)*BL45*BM45*VLOOKUP('Données projet'!$B$11,Paramètres!$A$1:$I$89,3,0)*0.475*44/12</f>
        <v>0</v>
      </c>
      <c r="BQ45" s="23">
        <f>EXP(-LN(2)/25)*BQ44+(1-EXP(-LN(2)/25))/(LN(2)/25)*Calculateur!BL45*Calculateur!BN45*VLOOKUP('Données projet'!$B$11,Paramètres!$A$1:$I$89,3,0)*0.475*44/12</f>
        <v>0</v>
      </c>
      <c r="BR45" s="23">
        <f>EXP(-LN(2)/2)*BR44+(1-EXP(-LN(2)/2))/(LN(2)/2)*BL45*BO45*VLOOKUP('Données projet'!$B$11,Paramètres!$A$1:$I$89,3,0)*0.475*44/12</f>
        <v>0</v>
      </c>
      <c r="BS45" s="24">
        <f t="shared" si="9"/>
        <v>0</v>
      </c>
      <c r="BT45" s="77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11.4</v>
      </c>
      <c r="BY45" s="13">
        <f>IF('Données projet'!$A$114&gt;35,BY44+BX45-CG44,IF(A45&lt;'Données projet'!$A$114,$BV$205^A45,IF(A45='Données projet'!$A$114,'Données projet'!$B$114,BY44+BX45-CG44)))</f>
        <v>197.80000000000004</v>
      </c>
      <c r="BZ45" s="14">
        <f>BY45*VLOOKUP('Données projet'!$B$12,Paramètres!$A$1:$I$89,3,0)*VLOOKUP('Données projet'!$B$12,Paramètres!$A$1:$I$89,5,0)</f>
        <v>200.56920000000005</v>
      </c>
      <c r="CA45" s="14">
        <f t="shared" si="39"/>
        <v>49.869239959281323</v>
      </c>
      <c r="CB45" s="22">
        <f t="shared" si="10"/>
        <v>436.18028292908167</v>
      </c>
      <c r="CC45" s="60">
        <f t="shared" si="11"/>
        <v>729.51361626241498</v>
      </c>
      <c r="CD45" s="60">
        <f ca="1">AVERAGE(OFFSET($CC$3,0,0,'Données projet'!$E$12+1,1))-AVERAGE(OFFSET($H$3,0,0,'Données projet'!$E$12+1,1))</f>
        <v>587.74247372331615</v>
      </c>
      <c r="CE45" s="60">
        <f t="shared" si="40"/>
        <v>306.61893266146666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>
        <f>EXP(-LN(2)/35)*CK44+(1-EXP(-LN(2)/35))/(LN(2)/35)*CG45*CH45*VLOOKUP('Données projet'!$B$12,Paramètres!$A$1:$I$89,3,0)*0.475*44/12</f>
        <v>0</v>
      </c>
      <c r="CL45" s="23">
        <f>EXP(-LN(2)/25)*CL44+(1-EXP(-LN(2)/25))/(LN(2)/25)*Calculateur!CG45*Calculateur!CI45*VLOOKUP('Données projet'!$B$12,Paramètres!$A$1:$I$89,3,0)*0.475*44/12</f>
        <v>0</v>
      </c>
      <c r="CM45" s="23">
        <f>EXP(-LN(2)/2)*CM44+(1-EXP(-LN(2)/2))/(LN(2)/2)*CG45*CJ45*VLOOKUP('Données projet'!$B$12,Paramètres!$A$1:$I$89,3,0)*0.475*44/12</f>
        <v>0</v>
      </c>
      <c r="CN45" s="24">
        <f t="shared" si="12"/>
        <v>0</v>
      </c>
      <c r="CO45" s="77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11.4</v>
      </c>
      <c r="CT45" s="13">
        <f>IF('Données projet'!$A$140&gt;35,CT44+CS45-DB44,IF(A45&lt;'Données projet'!$A$140,$CQ$205^A45,IF(A45='Données projet'!$A$140,'Données projet'!$B$140,CT44+CS45-DB44)))</f>
        <v>197.80000000000004</v>
      </c>
      <c r="CU45" s="18">
        <f>CT45*VLOOKUP('Données projet'!$B$13,Paramètres!$A$1:$I$89,3,0)*VLOOKUP('Données projet'!$B$13,Paramètres!$A$1:$I$89,5,0)</f>
        <v>212.91192000000004</v>
      </c>
      <c r="CV45" s="14">
        <f t="shared" si="41"/>
        <v>52.571402583859268</v>
      </c>
      <c r="CW45" s="22">
        <f t="shared" si="13"/>
        <v>462.38345350022161</v>
      </c>
      <c r="CX45" s="60">
        <f t="shared" si="14"/>
        <v>755.71678683355492</v>
      </c>
      <c r="CY45" s="60">
        <f ca="1">AVERAGE(OFFSET($CX$3,0,0,'Données projet'!$E$13+1,1))-AVERAGE(OFFSET($H$3,0,0,'Données projet'!$E$13+1,1))</f>
        <v>621.10465023992288</v>
      </c>
      <c r="CZ45" s="60">
        <f t="shared" si="42"/>
        <v>322.81767004794284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>
        <f>EXP(-LN(2)/35)*DF44+(1-EXP(-LN(2)/35))/(LN(2)/35)*DB45*DC45*VLOOKUP('Données projet'!$B$13,Paramètres!$A$1:$I$89,3,0)*0.475*44/12</f>
        <v>0</v>
      </c>
      <c r="DG45" s="23">
        <f>EXP(-LN(2)/25)*DG44+(1-EXP(-LN(2)/25))/(LN(2)/25)*Calculateur!DB45*Calculateur!DD45*VLOOKUP('Données projet'!$B$13,Paramètres!$A$1:$I$89,3,0)*0.475*44/12</f>
        <v>0</v>
      </c>
      <c r="DH45" s="23">
        <f>EXP(-LN(2)/2)*DH44+(1-EXP(-LN(2)/2))/(LN(2)/2)*DB45*DE45*VLOOKUP('Données projet'!$B$13,Paramètres!$A$1:$I$89,3,0)*0.475*44/12</f>
        <v>0</v>
      </c>
      <c r="DI45" s="24">
        <f t="shared" si="15"/>
        <v>0</v>
      </c>
      <c r="DJ45" s="77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11.4</v>
      </c>
      <c r="DO45" s="13">
        <f>IF('Données projet'!$A$166&gt;35,DO44+DN45-DW44,IF(A45&lt;'Données projet'!$A$166,$DL$205^A45,IF(A45='Données projet'!$A$166,'Données projet'!$B$166,DO44+DN45-DW44)))</f>
        <v>197.80000000000004</v>
      </c>
      <c r="DP45" s="18">
        <f>DO45*VLOOKUP('Données projet'!$B$14,Paramètres!$A$1:$I$89,3,0)*VLOOKUP('Données projet'!$B$14,Paramètres!$A$1:$I$89,5,0)</f>
        <v>191.31216000000003</v>
      </c>
      <c r="DQ45" s="14">
        <f t="shared" si="43"/>
        <v>47.829936494057677</v>
      </c>
      <c r="DR45" s="22">
        <f t="shared" si="16"/>
        <v>416.50581806048382</v>
      </c>
      <c r="DS45" s="60">
        <f t="shared" si="17"/>
        <v>709.83915139381713</v>
      </c>
      <c r="DT45" s="60">
        <f ca="1">AVERAGE(OFFSET($DS$3,0,0,'Données projet'!$E$14+1,1))-AVERAGE(OFFSET($H$3,0,0,'Données projet'!$E$14+1,1))</f>
        <v>562.69380557620775</v>
      </c>
      <c r="DU45" s="60">
        <f t="shared" si="44"/>
        <v>294.45557293177131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>
        <f>EXP(-LN(2)/35)*EA44+(1-EXP(-LN(2)/35))/(LN(2)/35)*DW45*DX45*VLOOKUP('Données projet'!$B$14,Paramètres!$A$1:$I$89,3,0)*0.475*44/12</f>
        <v>0</v>
      </c>
      <c r="EB45" s="23">
        <f>EXP(-LN(2)/25)*EB44+(1-EXP(-LN(2)/25))/(LN(2)/25)*Calculateur!DW45*Calculateur!DY45*VLOOKUP('Données projet'!$B$14,Paramètres!$A$1:$I$89,3,0)*0.475*44/12</f>
        <v>0</v>
      </c>
      <c r="EC45" s="23">
        <f>EXP(-LN(2)/2)*EC44+(1-EXP(-LN(2)/2))/(LN(2)/2)*DW45*DZ45*VLOOKUP('Données projet'!$B$14,Paramètres!$A$1:$I$89,3,0)*0.475*44/12</f>
        <v>0</v>
      </c>
      <c r="ED45" s="24">
        <f t="shared" si="18"/>
        <v>0</v>
      </c>
      <c r="EE45" s="77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11.142857142857142</v>
      </c>
      <c r="EJ45" s="13">
        <f>IF('Données projet'!$A$192&gt;35,EJ44+EI45-ER44,IF(A45&lt;'Données projet'!$A$192,$EG$205^A45,IF(A45='Données projet'!$A$192,'Données projet'!$B$192,EJ44+EI45-ER44)))</f>
        <v>207.71428571428567</v>
      </c>
      <c r="EK45" s="18">
        <f>EJ45*VLOOKUP('Données projet'!$B$15,Paramètres!$A$1:$I$89,3,0)*VLOOKUP('Données projet'!$B$15,Paramètres!$A$1:$I$89,5,0)</f>
        <v>162.01714285714283</v>
      </c>
      <c r="EL45" s="14">
        <f t="shared" si="45"/>
        <v>41.297155335096676</v>
      </c>
      <c r="EM45" s="22">
        <f t="shared" si="19"/>
        <v>354.10573601815048</v>
      </c>
      <c r="EN45" s="60">
        <f t="shared" si="20"/>
        <v>647.43906935148379</v>
      </c>
      <c r="EO45" s="60">
        <f ca="1">AVERAGE(OFFSET($EN$3,0,0,'Données projet'!$E$15+1,1))-AVERAGE(OFFSET($H$3,0,0,'Données projet'!$E$15+1,1))</f>
        <v>292.57482726862594</v>
      </c>
      <c r="EP45" s="60">
        <f t="shared" si="46"/>
        <v>283.48738729114024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>
        <f>EXP(-LN(2)/35)*EV44+(1-EXP(-LN(2)/35))/(LN(2)/35)*ER45*ES45*VLOOKUP('Données projet'!$B$15,Paramètres!$A$1:$I$89,3,0)*0.475*44/12</f>
        <v>0</v>
      </c>
      <c r="EW45" s="23">
        <f>EXP(-LN(2)/25)*EW44+(1-EXP(-LN(2)/25))/(LN(2)/25)*Calculateur!ER45*Calculateur!ET45*VLOOKUP('Données projet'!$B$15,Paramètres!$A$1:$I$89,3,0)*0.475*44/12</f>
        <v>0</v>
      </c>
      <c r="EX45" s="23">
        <f>EXP(-LN(2)/2)*EX44+(1-EXP(-LN(2)/2))/(LN(2)/2)*ER45*EU45*VLOOKUP('Données projet'!$B$15,Paramètres!$A$1:$I$89,3,0)*0.475*44/12</f>
        <v>0</v>
      </c>
      <c r="EY45" s="24">
        <f t="shared" si="21"/>
        <v>0</v>
      </c>
      <c r="EZ45" s="77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0" t="e">
        <f t="shared" si="23"/>
        <v>#N/A</v>
      </c>
      <c r="FJ45" s="60" t="e">
        <f ca="1">AVERAGE(OFFSET($FI$3,0,0,'Données projet'!$E$16+1,1))-AVERAGE(OFFSET($H$3,0,0,'Données projet'!$E$16+1,1))</f>
        <v>#N/A</v>
      </c>
      <c r="FK45" s="60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77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0" t="e">
        <f t="shared" si="26"/>
        <v>#N/A</v>
      </c>
      <c r="GE45" s="60" t="e">
        <f ca="1">AVERAGE(OFFSET($GD$3,0,0,'Données projet'!$E$17+1,1))-AVERAGE(OFFSET($H$3,0,0,'Données projet'!$E$17+1,1))</f>
        <v>#N/A</v>
      </c>
      <c r="GF45" s="60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77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0" t="e">
        <f t="shared" si="29"/>
        <v>#N/A</v>
      </c>
      <c r="GZ45" s="60" t="e">
        <f ca="1">AVERAGE(OFFSET($GY$3,0,0,'Données projet'!$E$18+1,1))-AVERAGE(OFFSET($H$3,0,0,'Données projet'!$E$18+1,1))</f>
        <v>#N/A</v>
      </c>
      <c r="HA45" s="60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25">
      <c r="A46" s="11">
        <f t="shared" si="31"/>
        <v>43</v>
      </c>
      <c r="B46" s="74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2">
        <f t="shared" si="32"/>
        <v>0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0</v>
      </c>
      <c r="H46" s="67">
        <f t="shared" si="1"/>
        <v>256.66666666666669</v>
      </c>
      <c r="I46" s="7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6.2820512820512819</v>
      </c>
      <c r="N46" s="14">
        <f>IF('Données projet'!$A$36&gt;35,N45+M46-V45,IF(A46&lt;'Données projet'!$A$36,$K$205^A46,IF(A46='Données projet'!$A$36,'Données projet'!$B$36,N45+M46-V45)))</f>
        <v>161.79487179487177</v>
      </c>
      <c r="O46" s="14">
        <f>N46*VLOOKUP('Données projet'!$B$9,Paramètres!$A$1:$I$89,3,0)*VLOOKUP('Données projet'!$B$9,Paramètres!$A$1:$I$89,5,0)</f>
        <v>153.96399999999997</v>
      </c>
      <c r="P46" s="14">
        <f t="shared" si="33"/>
        <v>39.478046772815077</v>
      </c>
      <c r="Q46" s="22">
        <f t="shared" si="53"/>
        <v>336.91156479598618</v>
      </c>
      <c r="R46" s="60">
        <f t="shared" si="0"/>
        <v>630.24489812931949</v>
      </c>
      <c r="S46" s="60">
        <f ca="1">AVERAGE(OFFSET($R$3,0,0,'Données projet'!$E$9+1,1))-AVERAGE(OFFSET($H$3,0,0,'Données projet'!$E$9+1,1))</f>
        <v>403.49781966317852</v>
      </c>
      <c r="T46" s="60">
        <f t="shared" si="34"/>
        <v>326.06674572505409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0</v>
      </c>
      <c r="AA46" s="23">
        <f>EXP(-LN(2)/25)*AA45+(1-EXP(-LN(2)/25))/(LN(2)/25)*Calculateur!V46*Calculateur!X46*VLOOKUP('Données projet'!$B$9,Paramètres!$A$1:$I$89,3,0)*0.475*44/12</f>
        <v>0</v>
      </c>
      <c r="AB46" s="23">
        <f>EXP(-LN(2)/2)*AB45+(1-EXP(-LN(2)/2))/(LN(2)/2)*V46*Y46*VLOOKUP('Données projet'!$B$9,Paramètres!$A$1:$I$89,3,0)*0.475*44/12</f>
        <v>0</v>
      </c>
      <c r="AC46" s="24">
        <f t="shared" si="3"/>
        <v>0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6.6</v>
      </c>
      <c r="AI46" s="14">
        <f>IF('Données projet'!$A$62&gt;35,AI45+AH46-AQ45,IF(A46&lt;'Données projet'!$A$62,$AF$205^A46,IF(A46='Données projet'!$A$62,'Données projet'!$B$62,AI45+AH46-AQ45)))</f>
        <v>172.79999999999993</v>
      </c>
      <c r="AJ46" s="14">
        <f>AI46*VLOOKUP('Données projet'!$B$10,Paramètres!$A$1:$I$89,3,0)*VLOOKUP('Données projet'!$B$10,Paramètres!$A$1:$I$89,5,0)</f>
        <v>150.95807999999997</v>
      </c>
      <c r="AK46" s="14">
        <f t="shared" si="35"/>
        <v>38.796231993724774</v>
      </c>
      <c r="AL46" s="22">
        <f t="shared" si="4"/>
        <v>330.48876005573726</v>
      </c>
      <c r="AM46" s="60">
        <f t="shared" si="5"/>
        <v>623.82209338907057</v>
      </c>
      <c r="AN46" s="60">
        <f ca="1">AVERAGE(OFFSET($AM$3,0,0,'Données projet'!$E$10+1,1))-AVERAGE(OFFSET($H$3,0,0,'Données projet'!$E$10+1,1))</f>
        <v>274.66236526869056</v>
      </c>
      <c r="AO46" s="60">
        <f t="shared" si="36"/>
        <v>256.90876395053073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>
        <f>EXP(-LN(2)/35)*AU45+(1-EXP(-LN(2)/35))/(LN(2)/35)*AQ46*AR46*VLOOKUP('Données projet'!$B$10,Paramètres!$A$1:$I$89,3,0)*0.475*44/12</f>
        <v>0</v>
      </c>
      <c r="AV46" s="23">
        <f>EXP(-LN(2)/25)*AV45+(1-EXP(-LN(2)/25))/(LN(2)/25)*Calculateur!AQ46*Calculateur!AS46*VLOOKUP('Données projet'!$B$10,Paramètres!$A$1:$I$89,3,0)*0.475*44/12</f>
        <v>0</v>
      </c>
      <c r="AW46" s="23">
        <f>EXP(-LN(2)/2)*AW45+(1-EXP(-LN(2)/2))/(LN(2)/2)*AQ46*AT46*VLOOKUP('Données projet'!$B$10,Paramètres!$A$1:$I$89,3,0)*0.475*44/12</f>
        <v>0</v>
      </c>
      <c r="AX46" s="23">
        <f t="shared" si="6"/>
        <v>0</v>
      </c>
      <c r="AY46" s="76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11.4</v>
      </c>
      <c r="BD46" s="13">
        <f>IF('Données projet'!$A$88&gt;35,BD45+BC46-BL45,IF(A46&lt;'Données projet'!$A$88,$BA$205^A46,IF(A46='Données projet'!$A$88,'Données projet'!$B$88,BD45+BC46-BL45)))</f>
        <v>209.20000000000005</v>
      </c>
      <c r="BE46" s="14">
        <f>BD46*VLOOKUP('Données projet'!$B$11,Paramètres!$A$1:$I$89,3,0)*VLOOKUP('Données projet'!$B$11,Paramètres!$A$1:$I$89,5,0)</f>
        <v>189.28416000000001</v>
      </c>
      <c r="BF46" s="14">
        <f t="shared" si="37"/>
        <v>47.381656039514027</v>
      </c>
      <c r="BG46" s="22">
        <f t="shared" si="7"/>
        <v>412.19296293548695</v>
      </c>
      <c r="BH46" s="60">
        <f t="shared" si="8"/>
        <v>705.52629626882026</v>
      </c>
      <c r="BI46" s="60">
        <f ca="1">AVERAGE(OFFSET($BH$3,0,0,'Données projet'!$E$11+1,1))-AVERAGE(OFFSET($H$3,0,0,'Données projet'!$E$11+1,1))</f>
        <v>529.25712986118265</v>
      </c>
      <c r="BJ46" s="60">
        <f t="shared" si="38"/>
        <v>278.21741231699929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>
        <f>EXP(-LN(2)/35)*BP45+(1-EXP(-LN(2)/35))/(LN(2)/35)*BL46*BM46*VLOOKUP('Données projet'!$B$11,Paramètres!$A$1:$I$89,3,0)*0.475*44/12</f>
        <v>0</v>
      </c>
      <c r="BQ46" s="23">
        <f>EXP(-LN(2)/25)*BQ45+(1-EXP(-LN(2)/25))/(LN(2)/25)*Calculateur!BL46*Calculateur!BN46*VLOOKUP('Données projet'!$B$11,Paramètres!$A$1:$I$89,3,0)*0.475*44/12</f>
        <v>0</v>
      </c>
      <c r="BR46" s="23">
        <f>EXP(-LN(2)/2)*BR45+(1-EXP(-LN(2)/2))/(LN(2)/2)*BL46*BO46*VLOOKUP('Données projet'!$B$11,Paramètres!$A$1:$I$89,3,0)*0.475*44/12</f>
        <v>0</v>
      </c>
      <c r="BS46" s="24">
        <f t="shared" si="9"/>
        <v>0</v>
      </c>
      <c r="BT46" s="77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11.4</v>
      </c>
      <c r="BY46" s="13">
        <f>IF('Données projet'!$A$114&gt;35,BY45+BX46-CG45,IF(A46&lt;'Données projet'!$A$114,$BV$205^A46,IF(A46='Données projet'!$A$114,'Données projet'!$B$114,BY45+BX46-CG45)))</f>
        <v>209.20000000000005</v>
      </c>
      <c r="BZ46" s="14">
        <f>BY46*VLOOKUP('Données projet'!$B$12,Paramètres!$A$1:$I$89,3,0)*VLOOKUP('Données projet'!$B$12,Paramètres!$A$1:$I$89,5,0)</f>
        <v>212.12880000000007</v>
      </c>
      <c r="CA46" s="14">
        <f t="shared" si="39"/>
        <v>52.400508630618717</v>
      </c>
      <c r="CB46" s="22">
        <f t="shared" si="10"/>
        <v>460.72187919832771</v>
      </c>
      <c r="CC46" s="60">
        <f t="shared" si="11"/>
        <v>754.05521253166103</v>
      </c>
      <c r="CD46" s="60">
        <f ca="1">AVERAGE(OFFSET($CC$3,0,0,'Données projet'!$E$12+1,1))-AVERAGE(OFFSET($H$3,0,0,'Données projet'!$E$12+1,1))</f>
        <v>587.74247372331615</v>
      </c>
      <c r="CE46" s="60">
        <f t="shared" si="40"/>
        <v>306.61893266146666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>
        <f>EXP(-LN(2)/35)*CK45+(1-EXP(-LN(2)/35))/(LN(2)/35)*CG46*CH46*VLOOKUP('Données projet'!$B$12,Paramètres!$A$1:$I$89,3,0)*0.475*44/12</f>
        <v>0</v>
      </c>
      <c r="CL46" s="23">
        <f>EXP(-LN(2)/25)*CL45+(1-EXP(-LN(2)/25))/(LN(2)/25)*Calculateur!CG46*Calculateur!CI46*VLOOKUP('Données projet'!$B$12,Paramètres!$A$1:$I$89,3,0)*0.475*44/12</f>
        <v>0</v>
      </c>
      <c r="CM46" s="23">
        <f>EXP(-LN(2)/2)*CM45+(1-EXP(-LN(2)/2))/(LN(2)/2)*CG46*CJ46*VLOOKUP('Données projet'!$B$12,Paramètres!$A$1:$I$89,3,0)*0.475*44/12</f>
        <v>0</v>
      </c>
      <c r="CN46" s="24">
        <f t="shared" si="12"/>
        <v>0</v>
      </c>
      <c r="CO46" s="77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11.4</v>
      </c>
      <c r="CT46" s="13">
        <f>IF('Données projet'!$A$140&gt;35,CT45+CS46-DB45,IF(A46&lt;'Données projet'!$A$140,$CQ$205^A46,IF(A46='Données projet'!$A$140,'Données projet'!$B$140,CT45+CS46-DB45)))</f>
        <v>209.20000000000005</v>
      </c>
      <c r="CU46" s="18">
        <f>CT46*VLOOKUP('Données projet'!$B$13,Paramètres!$A$1:$I$89,3,0)*VLOOKUP('Données projet'!$B$13,Paramètres!$A$1:$I$89,5,0)</f>
        <v>225.18288000000004</v>
      </c>
      <c r="CV46" s="14">
        <f t="shared" si="41"/>
        <v>55.239827939397941</v>
      </c>
      <c r="CW46" s="22">
        <f t="shared" si="13"/>
        <v>488.40288299445155</v>
      </c>
      <c r="CX46" s="60">
        <f t="shared" si="14"/>
        <v>781.73621632778486</v>
      </c>
      <c r="CY46" s="60">
        <f ca="1">AVERAGE(OFFSET($CX$3,0,0,'Données projet'!$E$13+1,1))-AVERAGE(OFFSET($H$3,0,0,'Données projet'!$E$13+1,1))</f>
        <v>621.10465023992288</v>
      </c>
      <c r="CZ46" s="60">
        <f t="shared" si="42"/>
        <v>322.81767004794284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>
        <f>EXP(-LN(2)/35)*DF45+(1-EXP(-LN(2)/35))/(LN(2)/35)*DB46*DC46*VLOOKUP('Données projet'!$B$13,Paramètres!$A$1:$I$89,3,0)*0.475*44/12</f>
        <v>0</v>
      </c>
      <c r="DG46" s="23">
        <f>EXP(-LN(2)/25)*DG45+(1-EXP(-LN(2)/25))/(LN(2)/25)*Calculateur!DB46*Calculateur!DD46*VLOOKUP('Données projet'!$B$13,Paramètres!$A$1:$I$89,3,0)*0.475*44/12</f>
        <v>0</v>
      </c>
      <c r="DH46" s="23">
        <f>EXP(-LN(2)/2)*DH45+(1-EXP(-LN(2)/2))/(LN(2)/2)*DB46*DE46*VLOOKUP('Données projet'!$B$13,Paramètres!$A$1:$I$89,3,0)*0.475*44/12</f>
        <v>0</v>
      </c>
      <c r="DI46" s="24">
        <f t="shared" si="15"/>
        <v>0</v>
      </c>
      <c r="DJ46" s="77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11.4</v>
      </c>
      <c r="DO46" s="13">
        <f>IF('Données projet'!$A$166&gt;35,DO45+DN46-DW45,IF(A46&lt;'Données projet'!$A$166,$DL$205^A46,IF(A46='Données projet'!$A$166,'Données projet'!$B$166,DO45+DN46-DW45)))</f>
        <v>209.20000000000005</v>
      </c>
      <c r="DP46" s="18">
        <f>DO46*VLOOKUP('Données projet'!$B$14,Paramètres!$A$1:$I$89,3,0)*VLOOKUP('Données projet'!$B$14,Paramètres!$A$1:$I$89,5,0)</f>
        <v>202.33824000000007</v>
      </c>
      <c r="DQ46" s="14">
        <f t="shared" si="43"/>
        <v>50.257693963357795</v>
      </c>
      <c r="DR46" s="22">
        <f t="shared" si="16"/>
        <v>439.93791831951495</v>
      </c>
      <c r="DS46" s="60">
        <f t="shared" si="17"/>
        <v>733.27125165284826</v>
      </c>
      <c r="DT46" s="60">
        <f ca="1">AVERAGE(OFFSET($DS$3,0,0,'Données projet'!$E$14+1,1))-AVERAGE(OFFSET($H$3,0,0,'Données projet'!$E$14+1,1))</f>
        <v>562.69380557620775</v>
      </c>
      <c r="DU46" s="60">
        <f t="shared" si="44"/>
        <v>294.45557293177131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>
        <f>EXP(-LN(2)/35)*EA45+(1-EXP(-LN(2)/35))/(LN(2)/35)*DW46*DX46*VLOOKUP('Données projet'!$B$14,Paramètres!$A$1:$I$89,3,0)*0.475*44/12</f>
        <v>0</v>
      </c>
      <c r="EB46" s="23">
        <f>EXP(-LN(2)/25)*EB45+(1-EXP(-LN(2)/25))/(LN(2)/25)*Calculateur!DW46*Calculateur!DY46*VLOOKUP('Données projet'!$B$14,Paramètres!$A$1:$I$89,3,0)*0.475*44/12</f>
        <v>0</v>
      </c>
      <c r="EC46" s="23">
        <f>EXP(-LN(2)/2)*EC45+(1-EXP(-LN(2)/2))/(LN(2)/2)*DW46*DZ46*VLOOKUP('Données projet'!$B$14,Paramètres!$A$1:$I$89,3,0)*0.475*44/12</f>
        <v>0</v>
      </c>
      <c r="ED46" s="24">
        <f t="shared" si="18"/>
        <v>0</v>
      </c>
      <c r="EE46" s="77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11.142857142857142</v>
      </c>
      <c r="EJ46" s="13">
        <f>IF('Données projet'!$A$192&gt;35,EJ45+EI46-ER45,IF(A46&lt;'Données projet'!$A$192,$EG$205^A46,IF(A46='Données projet'!$A$192,'Données projet'!$B$192,EJ45+EI46-ER45)))</f>
        <v>218.8571428571428</v>
      </c>
      <c r="EK46" s="18">
        <f>EJ46*VLOOKUP('Données projet'!$B$15,Paramètres!$A$1:$I$89,3,0)*VLOOKUP('Données projet'!$B$15,Paramètres!$A$1:$I$89,5,0)</f>
        <v>170.70857142857139</v>
      </c>
      <c r="EL46" s="14">
        <f t="shared" si="45"/>
        <v>43.248681576985412</v>
      </c>
      <c r="EM46" s="22">
        <f t="shared" si="19"/>
        <v>372.64221565134471</v>
      </c>
      <c r="EN46" s="60">
        <f t="shared" si="20"/>
        <v>665.97554898467797</v>
      </c>
      <c r="EO46" s="60">
        <f ca="1">AVERAGE(OFFSET($EN$3,0,0,'Données projet'!$E$15+1,1))-AVERAGE(OFFSET($H$3,0,0,'Données projet'!$E$15+1,1))</f>
        <v>292.57482726862594</v>
      </c>
      <c r="EP46" s="60">
        <f t="shared" si="46"/>
        <v>283.48738729114024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>
        <f>EXP(-LN(2)/35)*EV45+(1-EXP(-LN(2)/35))/(LN(2)/35)*ER46*ES46*VLOOKUP('Données projet'!$B$15,Paramètres!$A$1:$I$89,3,0)*0.475*44/12</f>
        <v>0</v>
      </c>
      <c r="EW46" s="23">
        <f>EXP(-LN(2)/25)*EW45+(1-EXP(-LN(2)/25))/(LN(2)/25)*Calculateur!ER46*Calculateur!ET46*VLOOKUP('Données projet'!$B$15,Paramètres!$A$1:$I$89,3,0)*0.475*44/12</f>
        <v>0</v>
      </c>
      <c r="EX46" s="23">
        <f>EXP(-LN(2)/2)*EX45+(1-EXP(-LN(2)/2))/(LN(2)/2)*ER46*EU46*VLOOKUP('Données projet'!$B$15,Paramètres!$A$1:$I$89,3,0)*0.475*44/12</f>
        <v>0</v>
      </c>
      <c r="EY46" s="24">
        <f t="shared" si="21"/>
        <v>0</v>
      </c>
      <c r="EZ46" s="77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0" t="e">
        <f t="shared" si="23"/>
        <v>#N/A</v>
      </c>
      <c r="FJ46" s="60" t="e">
        <f ca="1">AVERAGE(OFFSET($FI$3,0,0,'Données projet'!$E$16+1,1))-AVERAGE(OFFSET($H$3,0,0,'Données projet'!$E$16+1,1))</f>
        <v>#N/A</v>
      </c>
      <c r="FK46" s="60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77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0" t="e">
        <f t="shared" si="26"/>
        <v>#N/A</v>
      </c>
      <c r="GE46" s="60" t="e">
        <f ca="1">AVERAGE(OFFSET($GD$3,0,0,'Données projet'!$E$17+1,1))-AVERAGE(OFFSET($H$3,0,0,'Données projet'!$E$17+1,1))</f>
        <v>#N/A</v>
      </c>
      <c r="GF46" s="60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77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0" t="e">
        <f t="shared" si="29"/>
        <v>#N/A</v>
      </c>
      <c r="GZ46" s="60" t="e">
        <f ca="1">AVERAGE(OFFSET($GY$3,0,0,'Données projet'!$E$18+1,1))-AVERAGE(OFFSET($H$3,0,0,'Données projet'!$E$18+1,1))</f>
        <v>#N/A</v>
      </c>
      <c r="HA46" s="60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25">
      <c r="A47" s="11">
        <f t="shared" si="31"/>
        <v>44</v>
      </c>
      <c r="B47" s="74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2">
        <f t="shared" si="32"/>
        <v>0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0</v>
      </c>
      <c r="H47" s="67">
        <f t="shared" si="1"/>
        <v>256.66666666666669</v>
      </c>
      <c r="I47" s="7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6.2820512820512819</v>
      </c>
      <c r="N47" s="14">
        <f>IF('Données projet'!$A$36&gt;35,N46+M47-V46,IF(A47&lt;'Données projet'!$A$36,$K$205^A47,IF(A47='Données projet'!$A$36,'Données projet'!$B$36,N46+M47-V46)))</f>
        <v>168.07692307692304</v>
      </c>
      <c r="O47" s="14">
        <f>N47*VLOOKUP('Données projet'!$B$9,Paramètres!$A$1:$I$89,3,0)*VLOOKUP('Données projet'!$B$9,Paramètres!$A$1:$I$89,5,0)</f>
        <v>159.94199999999998</v>
      </c>
      <c r="P47" s="14">
        <f t="shared" si="33"/>
        <v>40.829433068762448</v>
      </c>
      <c r="Q47" s="22">
        <f t="shared" si="53"/>
        <v>349.67691259476123</v>
      </c>
      <c r="R47" s="60">
        <f t="shared" si="0"/>
        <v>643.01024592809449</v>
      </c>
      <c r="S47" s="60">
        <f ca="1">AVERAGE(OFFSET($R$3,0,0,'Données projet'!$E$9+1,1))-AVERAGE(OFFSET($H$3,0,0,'Données projet'!$E$9+1,1))</f>
        <v>403.49781966317852</v>
      </c>
      <c r="T47" s="60">
        <f t="shared" si="34"/>
        <v>326.06674572505409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0</v>
      </c>
      <c r="AA47" s="23">
        <f>EXP(-LN(2)/25)*AA46+(1-EXP(-LN(2)/25))/(LN(2)/25)*Calculateur!V47*Calculateur!X47*VLOOKUP('Données projet'!$B$9,Paramètres!$A$1:$I$89,3,0)*0.475*44/12</f>
        <v>0</v>
      </c>
      <c r="AB47" s="23">
        <f>EXP(-LN(2)/2)*AB46+(1-EXP(-LN(2)/2))/(LN(2)/2)*V47*Y47*VLOOKUP('Données projet'!$B$9,Paramètres!$A$1:$I$89,3,0)*0.475*44/12</f>
        <v>0</v>
      </c>
      <c r="AC47" s="24">
        <f t="shared" si="3"/>
        <v>0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6.6</v>
      </c>
      <c r="AI47" s="14">
        <f>IF('Données projet'!$A$62&gt;35,AI46+AH47-AQ46,IF(A47&lt;'Données projet'!$A$62,$AF$205^A47,IF(A47='Données projet'!$A$62,'Données projet'!$B$62,AI46+AH47-AQ46)))</f>
        <v>179.39999999999992</v>
      </c>
      <c r="AJ47" s="14">
        <f>AI47*VLOOKUP('Données projet'!$B$10,Paramètres!$A$1:$I$89,3,0)*VLOOKUP('Données projet'!$B$10,Paramètres!$A$1:$I$89,5,0)</f>
        <v>156.72383999999997</v>
      </c>
      <c r="AK47" s="14">
        <f t="shared" si="35"/>
        <v>40.102680984620484</v>
      </c>
      <c r="AL47" s="22">
        <f t="shared" si="4"/>
        <v>342.80619071488059</v>
      </c>
      <c r="AM47" s="60">
        <f t="shared" si="5"/>
        <v>636.13952404821384</v>
      </c>
      <c r="AN47" s="60">
        <f ca="1">AVERAGE(OFFSET($AM$3,0,0,'Données projet'!$E$10+1,1))-AVERAGE(OFFSET($H$3,0,0,'Données projet'!$E$10+1,1))</f>
        <v>274.66236526869056</v>
      </c>
      <c r="AO47" s="60">
        <f t="shared" si="36"/>
        <v>256.90876395053073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>
        <f>EXP(-LN(2)/35)*AU46+(1-EXP(-LN(2)/35))/(LN(2)/35)*AQ47*AR47*VLOOKUP('Données projet'!$B$10,Paramètres!$A$1:$I$89,3,0)*0.475*44/12</f>
        <v>0</v>
      </c>
      <c r="AV47" s="23">
        <f>EXP(-LN(2)/25)*AV46+(1-EXP(-LN(2)/25))/(LN(2)/25)*Calculateur!AQ47*Calculateur!AS47*VLOOKUP('Données projet'!$B$10,Paramètres!$A$1:$I$89,3,0)*0.475*44/12</f>
        <v>0</v>
      </c>
      <c r="AW47" s="23">
        <f>EXP(-LN(2)/2)*AW46+(1-EXP(-LN(2)/2))/(LN(2)/2)*AQ47*AT47*VLOOKUP('Données projet'!$B$10,Paramètres!$A$1:$I$89,3,0)*0.475*44/12</f>
        <v>0</v>
      </c>
      <c r="AX47" s="23">
        <f t="shared" si="6"/>
        <v>0</v>
      </c>
      <c r="AY47" s="76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11.4</v>
      </c>
      <c r="BD47" s="13">
        <f>IF('Données projet'!$A$88&gt;35,BD46+BC47-BL46,IF(A47&lt;'Données projet'!$A$88,$BA$205^A47,IF(A47='Données projet'!$A$88,'Données projet'!$B$88,BD46+BC47-BL46)))</f>
        <v>220.60000000000005</v>
      </c>
      <c r="BE47" s="14">
        <f>BD47*VLOOKUP('Données projet'!$B$11,Paramètres!$A$1:$I$89,3,0)*VLOOKUP('Données projet'!$B$11,Paramètres!$A$1:$I$89,5,0)</f>
        <v>199.59888000000004</v>
      </c>
      <c r="BF47" s="14">
        <f t="shared" si="37"/>
        <v>49.656003392529037</v>
      </c>
      <c r="BG47" s="22">
        <f t="shared" si="7"/>
        <v>434.11892190865478</v>
      </c>
      <c r="BH47" s="60">
        <f t="shared" si="8"/>
        <v>727.45225524198804</v>
      </c>
      <c r="BI47" s="60">
        <f ca="1">AVERAGE(OFFSET($BH$3,0,0,'Données projet'!$E$11+1,1))-AVERAGE(OFFSET($H$3,0,0,'Données projet'!$E$11+1,1))</f>
        <v>529.25712986118265</v>
      </c>
      <c r="BJ47" s="60">
        <f t="shared" si="38"/>
        <v>278.21741231699929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>
        <f>EXP(-LN(2)/35)*BP46+(1-EXP(-LN(2)/35))/(LN(2)/35)*BL47*BM47*VLOOKUP('Données projet'!$B$11,Paramètres!$A$1:$I$89,3,0)*0.475*44/12</f>
        <v>0</v>
      </c>
      <c r="BQ47" s="23">
        <f>EXP(-LN(2)/25)*BQ46+(1-EXP(-LN(2)/25))/(LN(2)/25)*Calculateur!BL47*Calculateur!BN47*VLOOKUP('Données projet'!$B$11,Paramètres!$A$1:$I$89,3,0)*0.475*44/12</f>
        <v>0</v>
      </c>
      <c r="BR47" s="23">
        <f>EXP(-LN(2)/2)*BR46+(1-EXP(-LN(2)/2))/(LN(2)/2)*BL47*BO47*VLOOKUP('Données projet'!$B$11,Paramètres!$A$1:$I$89,3,0)*0.475*44/12</f>
        <v>0</v>
      </c>
      <c r="BS47" s="24">
        <f t="shared" si="9"/>
        <v>0</v>
      </c>
      <c r="BT47" s="77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11.4</v>
      </c>
      <c r="BY47" s="13">
        <f>IF('Données projet'!$A$114&gt;35,BY46+BX47-CG46,IF(A47&lt;'Données projet'!$A$114,$BV$205^A47,IF(A47='Données projet'!$A$114,'Données projet'!$B$114,BY46+BX47-CG46)))</f>
        <v>220.60000000000005</v>
      </c>
      <c r="BZ47" s="14">
        <f>BY47*VLOOKUP('Données projet'!$B$12,Paramètres!$A$1:$I$89,3,0)*VLOOKUP('Données projet'!$B$12,Paramètres!$A$1:$I$89,5,0)</f>
        <v>223.68840000000009</v>
      </c>
      <c r="CA47" s="14">
        <f t="shared" si="39"/>
        <v>54.915763859378501</v>
      </c>
      <c r="CB47" s="22">
        <f t="shared" si="10"/>
        <v>485.23558538841758</v>
      </c>
      <c r="CC47" s="60">
        <f t="shared" si="11"/>
        <v>778.56891872175083</v>
      </c>
      <c r="CD47" s="60">
        <f ca="1">AVERAGE(OFFSET($CC$3,0,0,'Données projet'!$E$12+1,1))-AVERAGE(OFFSET($H$3,0,0,'Données projet'!$E$12+1,1))</f>
        <v>587.74247372331615</v>
      </c>
      <c r="CE47" s="60">
        <f t="shared" si="40"/>
        <v>306.61893266146666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>
        <f>EXP(-LN(2)/35)*CK46+(1-EXP(-LN(2)/35))/(LN(2)/35)*CG47*CH47*VLOOKUP('Données projet'!$B$12,Paramètres!$A$1:$I$89,3,0)*0.475*44/12</f>
        <v>0</v>
      </c>
      <c r="CL47" s="23">
        <f>EXP(-LN(2)/25)*CL46+(1-EXP(-LN(2)/25))/(LN(2)/25)*Calculateur!CG47*Calculateur!CI47*VLOOKUP('Données projet'!$B$12,Paramètres!$A$1:$I$89,3,0)*0.475*44/12</f>
        <v>0</v>
      </c>
      <c r="CM47" s="23">
        <f>EXP(-LN(2)/2)*CM46+(1-EXP(-LN(2)/2))/(LN(2)/2)*CG47*CJ47*VLOOKUP('Données projet'!$B$12,Paramètres!$A$1:$I$89,3,0)*0.475*44/12</f>
        <v>0</v>
      </c>
      <c r="CN47" s="24">
        <f t="shared" si="12"/>
        <v>0</v>
      </c>
      <c r="CO47" s="77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11.4</v>
      </c>
      <c r="CT47" s="13">
        <f>IF('Données projet'!$A$140&gt;35,CT46+CS47-DB46,IF(A47&lt;'Données projet'!$A$140,$CQ$205^A47,IF(A47='Données projet'!$A$140,'Données projet'!$B$140,CT46+CS47-DB46)))</f>
        <v>220.60000000000005</v>
      </c>
      <c r="CU47" s="18">
        <f>CT47*VLOOKUP('Données projet'!$B$13,Paramètres!$A$1:$I$89,3,0)*VLOOKUP('Données projet'!$B$13,Paramètres!$A$1:$I$89,5,0)</f>
        <v>237.45384000000004</v>
      </c>
      <c r="CV47" s="14">
        <f t="shared" si="41"/>
        <v>57.891372164661</v>
      </c>
      <c r="CW47" s="22">
        <f t="shared" si="13"/>
        <v>514.39291118678466</v>
      </c>
      <c r="CX47" s="60">
        <f t="shared" si="14"/>
        <v>807.72624452011792</v>
      </c>
      <c r="CY47" s="60">
        <f ca="1">AVERAGE(OFFSET($CX$3,0,0,'Données projet'!$E$13+1,1))-AVERAGE(OFFSET($H$3,0,0,'Données projet'!$E$13+1,1))</f>
        <v>621.10465023992288</v>
      </c>
      <c r="CZ47" s="60">
        <f t="shared" si="42"/>
        <v>322.81767004794284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>
        <f>EXP(-LN(2)/35)*DF46+(1-EXP(-LN(2)/35))/(LN(2)/35)*DB47*DC47*VLOOKUP('Données projet'!$B$13,Paramètres!$A$1:$I$89,3,0)*0.475*44/12</f>
        <v>0</v>
      </c>
      <c r="DG47" s="23">
        <f>EXP(-LN(2)/25)*DG46+(1-EXP(-LN(2)/25))/(LN(2)/25)*Calculateur!DB47*Calculateur!DD47*VLOOKUP('Données projet'!$B$13,Paramètres!$A$1:$I$89,3,0)*0.475*44/12</f>
        <v>0</v>
      </c>
      <c r="DH47" s="23">
        <f>EXP(-LN(2)/2)*DH46+(1-EXP(-LN(2)/2))/(LN(2)/2)*DB47*DE47*VLOOKUP('Données projet'!$B$13,Paramètres!$A$1:$I$89,3,0)*0.475*44/12</f>
        <v>0</v>
      </c>
      <c r="DI47" s="24">
        <f t="shared" si="15"/>
        <v>0</v>
      </c>
      <c r="DJ47" s="77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11.4</v>
      </c>
      <c r="DO47" s="13">
        <f>IF('Données projet'!$A$166&gt;35,DO46+DN47-DW46,IF(A47&lt;'Données projet'!$A$166,$DL$205^A47,IF(A47='Données projet'!$A$166,'Données projet'!$B$166,DO46+DN47-DW46)))</f>
        <v>220.60000000000005</v>
      </c>
      <c r="DP47" s="18">
        <f>DO47*VLOOKUP('Données projet'!$B$14,Paramètres!$A$1:$I$89,3,0)*VLOOKUP('Données projet'!$B$14,Paramètres!$A$1:$I$89,5,0)</f>
        <v>213.36432000000005</v>
      </c>
      <c r="DQ47" s="14">
        <f t="shared" si="43"/>
        <v>52.670092827991724</v>
      </c>
      <c r="DR47" s="22">
        <f t="shared" si="16"/>
        <v>463.34326900875232</v>
      </c>
      <c r="DS47" s="60">
        <f t="shared" si="17"/>
        <v>756.67660234208563</v>
      </c>
      <c r="DT47" s="60">
        <f ca="1">AVERAGE(OFFSET($DS$3,0,0,'Données projet'!$E$14+1,1))-AVERAGE(OFFSET($H$3,0,0,'Données projet'!$E$14+1,1))</f>
        <v>562.69380557620775</v>
      </c>
      <c r="DU47" s="60">
        <f t="shared" si="44"/>
        <v>294.45557293177131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>
        <f>EXP(-LN(2)/35)*EA46+(1-EXP(-LN(2)/35))/(LN(2)/35)*DW47*DX47*VLOOKUP('Données projet'!$B$14,Paramètres!$A$1:$I$89,3,0)*0.475*44/12</f>
        <v>0</v>
      </c>
      <c r="EB47" s="23">
        <f>EXP(-LN(2)/25)*EB46+(1-EXP(-LN(2)/25))/(LN(2)/25)*Calculateur!DW47*Calculateur!DY47*VLOOKUP('Données projet'!$B$14,Paramètres!$A$1:$I$89,3,0)*0.475*44/12</f>
        <v>0</v>
      </c>
      <c r="EC47" s="23">
        <f>EXP(-LN(2)/2)*EC46+(1-EXP(-LN(2)/2))/(LN(2)/2)*DW47*DZ47*VLOOKUP('Données projet'!$B$14,Paramètres!$A$1:$I$89,3,0)*0.475*44/12</f>
        <v>0</v>
      </c>
      <c r="ED47" s="24">
        <f t="shared" si="18"/>
        <v>0</v>
      </c>
      <c r="EE47" s="77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>
        <f>VLOOKUP(A47,'Données projet'!$A$191:$I$211,2,0)</f>
        <v>230</v>
      </c>
      <c r="EH47" s="13">
        <f>VLOOKUP(A47,'Données projet'!$A$191:$I$211,9,0)</f>
        <v>11.142857142857142</v>
      </c>
      <c r="EI47" s="13">
        <f t="array" ref="EI47">INDEX(EH:EH,MIN(IF(ISNUMBER(EH47:EH243),ROW(EH47:EH243),"")))</f>
        <v>11.142857142857142</v>
      </c>
      <c r="EJ47" s="13">
        <f>IF('Données projet'!$A$192&gt;35,EJ46+EI47-ER46,IF(A47&lt;'Données projet'!$A$192,$EG$205^A47,IF(A47='Données projet'!$A$192,'Données projet'!$B$192,EJ46+EI47-ER46)))</f>
        <v>229.99999999999994</v>
      </c>
      <c r="EK47" s="18">
        <f>EJ47*VLOOKUP('Données projet'!$B$15,Paramètres!$A$1:$I$89,3,0)*VLOOKUP('Données projet'!$B$15,Paramètres!$A$1:$I$89,5,0)</f>
        <v>179.39999999999995</v>
      </c>
      <c r="EL47" s="14">
        <f t="shared" si="45"/>
        <v>45.188671291872232</v>
      </c>
      <c r="EM47" s="22">
        <f t="shared" si="19"/>
        <v>391.15860250001066</v>
      </c>
      <c r="EN47" s="60">
        <f t="shared" si="20"/>
        <v>684.49193583334397</v>
      </c>
      <c r="EO47" s="60">
        <f ca="1">AVERAGE(OFFSET($EN$3,0,0,'Données projet'!$E$15+1,1))-AVERAGE(OFFSET($H$3,0,0,'Données projet'!$E$15+1,1))</f>
        <v>292.57482726862594</v>
      </c>
      <c r="EP47" s="60">
        <f t="shared" si="46"/>
        <v>283.48738729114024</v>
      </c>
      <c r="EQ47" s="16">
        <f>IF(ISNA(VLOOKUP(A47,'Données projet'!$A$191:$I$211,3,0)),0,VLOOKUP(A47,'Données projet'!$A$191:$I$211,3,0))</f>
        <v>4</v>
      </c>
      <c r="ER47" s="16">
        <f>IF(ISNA(VLOOKUP(A47,'Données projet'!$A$191:$I$211,4,0)),0,VLOOKUP(A47,'Données projet'!$A$191:$I$211,4,0))</f>
        <v>43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>
        <f>EXP(-LN(2)/35)*EV46+(1-EXP(-LN(2)/35))/(LN(2)/35)*ER47*ES47*VLOOKUP('Données projet'!$B$15,Paramètres!$A$1:$I$89,3,0)*0.475*44/12</f>
        <v>0</v>
      </c>
      <c r="EW47" s="23">
        <f>EXP(-LN(2)/25)*EW46+(1-EXP(-LN(2)/25))/(LN(2)/25)*Calculateur!ER47*Calculateur!ET47*VLOOKUP('Données projet'!$B$15,Paramètres!$A$1:$I$89,3,0)*0.475*44/12</f>
        <v>0</v>
      </c>
      <c r="EX47" s="23">
        <f>EXP(-LN(2)/2)*EX46+(1-EXP(-LN(2)/2))/(LN(2)/2)*ER47*EU47*VLOOKUP('Données projet'!$B$15,Paramètres!$A$1:$I$89,3,0)*0.475*44/12</f>
        <v>0</v>
      </c>
      <c r="EY47" s="24">
        <f t="shared" si="21"/>
        <v>0</v>
      </c>
      <c r="EZ47" s="77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0" t="e">
        <f t="shared" si="23"/>
        <v>#N/A</v>
      </c>
      <c r="FJ47" s="60" t="e">
        <f ca="1">AVERAGE(OFFSET($FI$3,0,0,'Données projet'!$E$16+1,1))-AVERAGE(OFFSET($H$3,0,0,'Données projet'!$E$16+1,1))</f>
        <v>#N/A</v>
      </c>
      <c r="FK47" s="60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77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0" t="e">
        <f t="shared" si="26"/>
        <v>#N/A</v>
      </c>
      <c r="GE47" s="60" t="e">
        <f ca="1">AVERAGE(OFFSET($GD$3,0,0,'Données projet'!$E$17+1,1))-AVERAGE(OFFSET($H$3,0,0,'Données projet'!$E$17+1,1))</f>
        <v>#N/A</v>
      </c>
      <c r="GF47" s="60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77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0" t="e">
        <f t="shared" si="29"/>
        <v>#N/A</v>
      </c>
      <c r="GZ47" s="60" t="e">
        <f ca="1">AVERAGE(OFFSET($GY$3,0,0,'Données projet'!$E$18+1,1))-AVERAGE(OFFSET($H$3,0,0,'Données projet'!$E$18+1,1))</f>
        <v>#N/A</v>
      </c>
      <c r="HA47" s="60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25">
      <c r="A48" s="11">
        <f t="shared" si="31"/>
        <v>45</v>
      </c>
      <c r="B48" s="74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2">
        <f t="shared" si="32"/>
        <v>0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0</v>
      </c>
      <c r="H48" s="67">
        <f t="shared" si="1"/>
        <v>256.66666666666669</v>
      </c>
      <c r="I48" s="7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>
        <f>VLOOKUP(A48,'Données projet'!$A$35:$I$55,2,0)</f>
        <v>174.35897435897436</v>
      </c>
      <c r="L48" s="13">
        <f>VLOOKUP(A48,'Données projet'!$A$35:$I$55,9,0)</f>
        <v>6.2820512820512819</v>
      </c>
      <c r="M48" s="13">
        <f t="array" ref="M48">INDEX(L:L,MIN(IF(ISNUMBER(L48:L244),ROW(L48:L244),"")))</f>
        <v>6.2820512820512819</v>
      </c>
      <c r="N48" s="14">
        <f>IF('Données projet'!$A$36&gt;35,N47+M48-V47,IF(A48&lt;'Données projet'!$A$36,$K$205^A48,IF(A48='Données projet'!$A$36,'Données projet'!$B$36,N47+M48-V47)))</f>
        <v>174.35897435897431</v>
      </c>
      <c r="O48" s="14">
        <f>N48*VLOOKUP('Données projet'!$B$9,Paramètres!$A$1:$I$89,3,0)*VLOOKUP('Données projet'!$B$9,Paramètres!$A$1:$I$89,5,0)</f>
        <v>165.91999999999996</v>
      </c>
      <c r="P48" s="14">
        <f t="shared" si="33"/>
        <v>42.174951388767532</v>
      </c>
      <c r="Q48" s="22">
        <f t="shared" si="53"/>
        <v>362.43204033543674</v>
      </c>
      <c r="R48" s="60">
        <f t="shared" si="0"/>
        <v>655.76537366877005</v>
      </c>
      <c r="S48" s="60">
        <f ca="1">AVERAGE(OFFSET($R$3,0,0,'Données projet'!$E$9+1,1))-AVERAGE(OFFSET($H$3,0,0,'Données projet'!$E$9+1,1))</f>
        <v>403.49781966317852</v>
      </c>
      <c r="T48" s="60">
        <f t="shared" si="34"/>
        <v>326.06674572505409</v>
      </c>
      <c r="U48" s="16">
        <f>IF(ISNA(VLOOKUP(A48,'Données projet'!$A$35:$I$55,3,0)),0,VLOOKUP(A48,'Données projet'!$A$35:$I$55,3,0))</f>
        <v>0</v>
      </c>
      <c r="V48" s="16">
        <f>IF(ISNA(VLOOKUP(A48,'Données projet'!$A$35:$I$55,4,0)),0,VLOOKUP(A48,'Données projet'!$A$35:$I$55,4,0))</f>
        <v>0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0</v>
      </c>
      <c r="AA48" s="23">
        <f>EXP(-LN(2)/25)*AA47+(1-EXP(-LN(2)/25))/(LN(2)/25)*Calculateur!V48*Calculateur!X48*VLOOKUP('Données projet'!$B$9,Paramètres!$A$1:$I$89,3,0)*0.475*44/12</f>
        <v>0</v>
      </c>
      <c r="AB48" s="23">
        <f>EXP(-LN(2)/2)*AB47+(1-EXP(-LN(2)/2))/(LN(2)/2)*V48*Y48*VLOOKUP('Données projet'!$B$9,Paramètres!$A$1:$I$89,3,0)*0.475*44/12</f>
        <v>0</v>
      </c>
      <c r="AC48" s="24">
        <f t="shared" si="3"/>
        <v>0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>
        <f>VLOOKUP(A48,'Données projet'!$A$61:$I$81,2,0)</f>
        <v>186</v>
      </c>
      <c r="AG48" s="13">
        <f>VLOOKUP(A48,'Données projet'!$A$61:$I$81,9,0)</f>
        <v>6.6</v>
      </c>
      <c r="AH48" s="13">
        <f t="array" ref="AH48">INDEX(AG:AG,MIN(IF(ISNUMBER(AG48:AG244),ROW(AG48:AG244),"")))</f>
        <v>6.6</v>
      </c>
      <c r="AI48" s="14">
        <f>IF('Données projet'!$A$62&gt;35,AI47+AH48-AQ47,IF(A48&lt;'Données projet'!$A$62,$AF$205^A48,IF(A48='Données projet'!$A$62,'Données projet'!$B$62,AI47+AH48-AQ47)))</f>
        <v>185.99999999999991</v>
      </c>
      <c r="AJ48" s="14">
        <f>AI48*VLOOKUP('Données projet'!$B$10,Paramètres!$A$1:$I$89,3,0)*VLOOKUP('Données projet'!$B$10,Paramètres!$A$1:$I$89,5,0)</f>
        <v>162.48959999999997</v>
      </c>
      <c r="AK48" s="14">
        <f t="shared" si="35"/>
        <v>41.403546033820696</v>
      </c>
      <c r="AL48" s="22">
        <f t="shared" si="4"/>
        <v>355.11389600890431</v>
      </c>
      <c r="AM48" s="60">
        <f t="shared" si="5"/>
        <v>648.44722934223762</v>
      </c>
      <c r="AN48" s="60">
        <f ca="1">AVERAGE(OFFSET($AM$3,0,0,'Données projet'!$E$10+1,1))-AVERAGE(OFFSET($H$3,0,0,'Données projet'!$E$10+1,1))</f>
        <v>274.66236526869056</v>
      </c>
      <c r="AO48" s="60">
        <f t="shared" si="36"/>
        <v>256.90876395053073</v>
      </c>
      <c r="AP48" s="16">
        <f>IF(ISNA(VLOOKUP(A48,'Données projet'!$A$61:$I$81,3,0)),0,VLOOKUP(A48,'Données projet'!$A$61:$I$81,3,0))</f>
        <v>3</v>
      </c>
      <c r="AQ48" s="16">
        <f>IF(ISNA(VLOOKUP(A48,'Données projet'!$A$61:$I$81,4,0)),0,VLOOKUP(A48,'Données projet'!$A$61:$I$81,4,0))</f>
        <v>39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>
        <f>EXP(-LN(2)/35)*AU47+(1-EXP(-LN(2)/35))/(LN(2)/35)*AQ48*AR48*VLOOKUP('Données projet'!$B$10,Paramètres!$A$1:$I$89,3,0)*0.475*44/12</f>
        <v>0</v>
      </c>
      <c r="AV48" s="23">
        <f>EXP(-LN(2)/25)*AV47+(1-EXP(-LN(2)/25))/(LN(2)/25)*Calculateur!AQ48*Calculateur!AS48*VLOOKUP('Données projet'!$B$10,Paramètres!$A$1:$I$89,3,0)*0.475*44/12</f>
        <v>0</v>
      </c>
      <c r="AW48" s="23">
        <f>EXP(-LN(2)/2)*AW47+(1-EXP(-LN(2)/2))/(LN(2)/2)*AQ48*AT48*VLOOKUP('Données projet'!$B$10,Paramètres!$A$1:$I$89,3,0)*0.475*44/12</f>
        <v>0</v>
      </c>
      <c r="AX48" s="23">
        <f t="shared" si="6"/>
        <v>0</v>
      </c>
      <c r="AY48" s="76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>
        <f>VLOOKUP(A48,'Données projet'!$A$87:$I$107,2,0)</f>
        <v>232</v>
      </c>
      <c r="BB48" s="13">
        <f>VLOOKUP(A48,'Données projet'!$A$87:$I$107,9,0)</f>
        <v>11.4</v>
      </c>
      <c r="BC48" s="13">
        <f t="array" ref="BC48">INDEX(BB:BB,MIN(IF(ISNUMBER(BB48:BB244),ROW(BB48:BB244),"")))</f>
        <v>11.4</v>
      </c>
      <c r="BD48" s="13">
        <f>IF('Données projet'!$A$88&gt;35,BD47+BC48-BL47,IF(A48&lt;'Données projet'!$A$88,$BA$205^A48,IF(A48='Données projet'!$A$88,'Données projet'!$B$88,BD47+BC48-BL47)))</f>
        <v>232.00000000000006</v>
      </c>
      <c r="BE48" s="14">
        <f>BD48*VLOOKUP('Données projet'!$B$11,Paramètres!$A$1:$I$89,3,0)*VLOOKUP('Données projet'!$B$11,Paramètres!$A$1:$I$89,5,0)</f>
        <v>209.91360000000006</v>
      </c>
      <c r="BF48" s="14">
        <f t="shared" si="37"/>
        <v>51.916704672341361</v>
      </c>
      <c r="BG48" s="22">
        <f t="shared" si="7"/>
        <v>456.02111397099458</v>
      </c>
      <c r="BH48" s="60">
        <f t="shared" si="8"/>
        <v>749.35444730432789</v>
      </c>
      <c r="BI48" s="60">
        <f ca="1">AVERAGE(OFFSET($BH$3,0,0,'Données projet'!$E$11+1,1))-AVERAGE(OFFSET($H$3,0,0,'Données projet'!$E$11+1,1))</f>
        <v>529.25712986118265</v>
      </c>
      <c r="BJ48" s="60">
        <f t="shared" si="38"/>
        <v>278.21741231699929</v>
      </c>
      <c r="BK48" s="16">
        <f>IF(ISNA(VLOOKUP(A48,'Données projet'!$A$87:$I$107,3,0)),0,VLOOKUP(A48,'Données projet'!$A$87:$I$107,3,0))</f>
        <v>3</v>
      </c>
      <c r="BL48" s="16">
        <f>IF(ISNA(VLOOKUP(A48,'Données projet'!$A$87:$I$107,4,0)),0,VLOOKUP(A48,'Données projet'!$A$87:$I$107,4,0))</f>
        <v>56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>
        <f>EXP(-LN(2)/35)*BP47+(1-EXP(-LN(2)/35))/(LN(2)/35)*BL48*BM48*VLOOKUP('Données projet'!$B$11,Paramètres!$A$1:$I$89,3,0)*0.475*44/12</f>
        <v>0</v>
      </c>
      <c r="BQ48" s="23">
        <f>EXP(-LN(2)/25)*BQ47+(1-EXP(-LN(2)/25))/(LN(2)/25)*Calculateur!BL48*Calculateur!BN48*VLOOKUP('Données projet'!$B$11,Paramètres!$A$1:$I$89,3,0)*0.475*44/12</f>
        <v>0</v>
      </c>
      <c r="BR48" s="23">
        <f>EXP(-LN(2)/2)*BR47+(1-EXP(-LN(2)/2))/(LN(2)/2)*BL48*BO48*VLOOKUP('Données projet'!$B$11,Paramètres!$A$1:$I$89,3,0)*0.475*44/12</f>
        <v>0</v>
      </c>
      <c r="BS48" s="24">
        <f t="shared" si="9"/>
        <v>0</v>
      </c>
      <c r="BT48" s="77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>
        <f>VLOOKUP(A48,'Données projet'!$A$113:$I$133,2,0)</f>
        <v>232</v>
      </c>
      <c r="BW48" s="13">
        <f>VLOOKUP(A48,'Données projet'!$A$113:$I$133,9,0)</f>
        <v>11.4</v>
      </c>
      <c r="BX48" s="13">
        <f t="array" ref="BX48">INDEX(BW:BW,MIN(IF(ISNUMBER(BW48:BW244),ROW(BW48:BW244),"")))</f>
        <v>11.4</v>
      </c>
      <c r="BY48" s="13">
        <f>IF('Données projet'!$A$114&gt;35,BY47+BX48-CG47,IF(A48&lt;'Données projet'!$A$114,$BV$205^A48,IF(A48='Données projet'!$A$114,'Données projet'!$B$114,BY47+BX48-CG47)))</f>
        <v>232.00000000000006</v>
      </c>
      <c r="BZ48" s="14">
        <f>BY48*VLOOKUP('Données projet'!$B$12,Paramètres!$A$1:$I$89,3,0)*VLOOKUP('Données projet'!$B$12,Paramètres!$A$1:$I$89,5,0)</f>
        <v>235.24800000000008</v>
      </c>
      <c r="CA48" s="14">
        <f t="shared" si="39"/>
        <v>57.41592756883739</v>
      </c>
      <c r="CB48" s="22">
        <f t="shared" si="10"/>
        <v>509.72300718239194</v>
      </c>
      <c r="CC48" s="60">
        <f t="shared" si="11"/>
        <v>803.0563405157252</v>
      </c>
      <c r="CD48" s="60">
        <f ca="1">AVERAGE(OFFSET($CC$3,0,0,'Données projet'!$E$12+1,1))-AVERAGE(OFFSET($H$3,0,0,'Données projet'!$E$12+1,1))</f>
        <v>587.74247372331615</v>
      </c>
      <c r="CE48" s="60">
        <f t="shared" si="40"/>
        <v>306.61893266146666</v>
      </c>
      <c r="CF48" s="16">
        <f>IF(ISNA(VLOOKUP(A48,'Données projet'!$A$113:$I$133,3,0)),0,VLOOKUP(A48,'Données projet'!$A$113:$I$133,3,0))</f>
        <v>3</v>
      </c>
      <c r="CG48" s="16">
        <f>IF(ISNA(VLOOKUP(A48,'Données projet'!$A$113:$I$133,4,0)),0,VLOOKUP(A48,'Données projet'!$A$113:$I$133,4,0))</f>
        <v>56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>
        <f>EXP(-LN(2)/35)*CK47+(1-EXP(-LN(2)/35))/(LN(2)/35)*CG48*CH48*VLOOKUP('Données projet'!$B$12,Paramètres!$A$1:$I$89,3,0)*0.475*44/12</f>
        <v>0</v>
      </c>
      <c r="CL48" s="23">
        <f>EXP(-LN(2)/25)*CL47+(1-EXP(-LN(2)/25))/(LN(2)/25)*Calculateur!CG48*Calculateur!CI48*VLOOKUP('Données projet'!$B$12,Paramètres!$A$1:$I$89,3,0)*0.475*44/12</f>
        <v>0</v>
      </c>
      <c r="CM48" s="23">
        <f>EXP(-LN(2)/2)*CM47+(1-EXP(-LN(2)/2))/(LN(2)/2)*CG48*CJ48*VLOOKUP('Données projet'!$B$12,Paramètres!$A$1:$I$89,3,0)*0.475*44/12</f>
        <v>0</v>
      </c>
      <c r="CN48" s="24">
        <f t="shared" si="12"/>
        <v>0</v>
      </c>
      <c r="CO48" s="77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>
        <f>VLOOKUP(A48,'Données projet'!$A$139:$I$159,2,0)</f>
        <v>232</v>
      </c>
      <c r="CR48" s="13">
        <f>VLOOKUP(A48,'Données projet'!$A$139:$I$159,9,0)</f>
        <v>11.4</v>
      </c>
      <c r="CS48" s="13">
        <f t="array" ref="CS48">INDEX(CR:CR,MIN(IF(ISNUMBER(CR48:CR244),ROW(CR48:CR244),"")))</f>
        <v>11.4</v>
      </c>
      <c r="CT48" s="13">
        <f>IF('Données projet'!$A$140&gt;35,CT47+CS48-DB47,IF(A48&lt;'Données projet'!$A$140,$CQ$205^A48,IF(A48='Données projet'!$A$140,'Données projet'!$B$140,CT47+CS48-DB47)))</f>
        <v>232.00000000000006</v>
      </c>
      <c r="CU48" s="18">
        <f>CT48*VLOOKUP('Données projet'!$B$13,Paramètres!$A$1:$I$89,3,0)*VLOOKUP('Données projet'!$B$13,Paramètres!$A$1:$I$89,5,0)</f>
        <v>249.72480000000007</v>
      </c>
      <c r="CV48" s="14">
        <f t="shared" si="41"/>
        <v>60.527007137298142</v>
      </c>
      <c r="CW48" s="22">
        <f t="shared" si="13"/>
        <v>540.35523076412767</v>
      </c>
      <c r="CX48" s="60">
        <f t="shared" si="14"/>
        <v>833.68856409746104</v>
      </c>
      <c r="CY48" s="60">
        <f ca="1">AVERAGE(OFFSET($CX$3,0,0,'Données projet'!$E$13+1,1))-AVERAGE(OFFSET($H$3,0,0,'Données projet'!$E$13+1,1))</f>
        <v>621.10465023992288</v>
      </c>
      <c r="CZ48" s="60">
        <f t="shared" si="42"/>
        <v>322.81767004794284</v>
      </c>
      <c r="DA48" s="16">
        <f>IF(ISNA(VLOOKUP(A48,'Données projet'!$A$139:$I$159,3,0)),0,VLOOKUP(A48,'Données projet'!$A$139:$I$159,3,0))</f>
        <v>3</v>
      </c>
      <c r="DB48" s="16">
        <f>IF(ISNA(VLOOKUP(A48,'Données projet'!$A$139:$I$159,4,0)),0,VLOOKUP(A48,'Données projet'!$A$139:$I$159,4,0))</f>
        <v>56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>
        <f>EXP(-LN(2)/35)*DF47+(1-EXP(-LN(2)/35))/(LN(2)/35)*DB48*DC48*VLOOKUP('Données projet'!$B$13,Paramètres!$A$1:$I$89,3,0)*0.475*44/12</f>
        <v>0</v>
      </c>
      <c r="DG48" s="23">
        <f>EXP(-LN(2)/25)*DG47+(1-EXP(-LN(2)/25))/(LN(2)/25)*Calculateur!DB48*Calculateur!DD48*VLOOKUP('Données projet'!$B$13,Paramètres!$A$1:$I$89,3,0)*0.475*44/12</f>
        <v>0</v>
      </c>
      <c r="DH48" s="23">
        <f>EXP(-LN(2)/2)*DH47+(1-EXP(-LN(2)/2))/(LN(2)/2)*DB48*DE48*VLOOKUP('Données projet'!$B$13,Paramètres!$A$1:$I$89,3,0)*0.475*44/12</f>
        <v>0</v>
      </c>
      <c r="DI48" s="24">
        <f t="shared" si="15"/>
        <v>0</v>
      </c>
      <c r="DJ48" s="77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>
        <f>VLOOKUP(A48,'Données projet'!$A$165:$I$185,2,0)</f>
        <v>232</v>
      </c>
      <c r="DM48" s="13">
        <f>VLOOKUP(A48,'Données projet'!$A$165:$I$185,9,0)</f>
        <v>11.4</v>
      </c>
      <c r="DN48" s="13">
        <f t="array" ref="DN48">INDEX(DM:DM,MIN(IF(ISNUMBER(DM48:DM244),ROW(DM48:DM244),"")))</f>
        <v>11.4</v>
      </c>
      <c r="DO48" s="13">
        <f>IF('Données projet'!$A$166&gt;35,DO47+DN48-DW47,IF(A48&lt;'Données projet'!$A$166,$DL$205^A48,IF(A48='Données projet'!$A$166,'Données projet'!$B$166,DO47+DN48-DW47)))</f>
        <v>232.00000000000006</v>
      </c>
      <c r="DP48" s="18">
        <f>DO48*VLOOKUP('Données projet'!$B$14,Paramètres!$A$1:$I$89,3,0)*VLOOKUP('Données projet'!$B$14,Paramètres!$A$1:$I$89,5,0)</f>
        <v>224.39040000000006</v>
      </c>
      <c r="DQ48" s="14">
        <f t="shared" si="43"/>
        <v>55.068017311015858</v>
      </c>
      <c r="DR48" s="22">
        <f t="shared" si="16"/>
        <v>486.72341015001939</v>
      </c>
      <c r="DS48" s="60">
        <f t="shared" si="17"/>
        <v>780.05674348335265</v>
      </c>
      <c r="DT48" s="60">
        <f ca="1">AVERAGE(OFFSET($DS$3,0,0,'Données projet'!$E$14+1,1))-AVERAGE(OFFSET($H$3,0,0,'Données projet'!$E$14+1,1))</f>
        <v>562.69380557620775</v>
      </c>
      <c r="DU48" s="60">
        <f t="shared" si="44"/>
        <v>294.45557293177131</v>
      </c>
      <c r="DV48" s="16">
        <f>IF(ISNA(VLOOKUP(A48,'Données projet'!$A$165:$I$185,3,0)),0,VLOOKUP(A48,'Données projet'!$A$165:$I$185,3,0))</f>
        <v>3</v>
      </c>
      <c r="DW48" s="16">
        <f>IF(ISNA(VLOOKUP(A48,'Données projet'!$A$165:$I$185,4,0)),0,VLOOKUP(A48,'Données projet'!$A$165:$I$185,4,0))</f>
        <v>56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>
        <f>EXP(-LN(2)/35)*EA47+(1-EXP(-LN(2)/35))/(LN(2)/35)*DW48*DX48*VLOOKUP('Données projet'!$B$14,Paramètres!$A$1:$I$89,3,0)*0.475*44/12</f>
        <v>0</v>
      </c>
      <c r="EB48" s="23">
        <f>EXP(-LN(2)/25)*EB47+(1-EXP(-LN(2)/25))/(LN(2)/25)*Calculateur!DW48*Calculateur!DY48*VLOOKUP('Données projet'!$B$14,Paramètres!$A$1:$I$89,3,0)*0.475*44/12</f>
        <v>0</v>
      </c>
      <c r="EC48" s="23">
        <f>EXP(-LN(2)/2)*EC47+(1-EXP(-LN(2)/2))/(LN(2)/2)*DW48*DZ48*VLOOKUP('Données projet'!$B$14,Paramètres!$A$1:$I$89,3,0)*0.475*44/12</f>
        <v>0</v>
      </c>
      <c r="ED48" s="24">
        <f t="shared" si="18"/>
        <v>0</v>
      </c>
      <c r="EE48" s="77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10.375</v>
      </c>
      <c r="EJ48" s="13">
        <f>IF('Données projet'!$A$192&gt;35,EJ47+EI48-ER47,IF(A48&lt;'Données projet'!$A$192,$EG$205^A48,IF(A48='Données projet'!$A$192,'Données projet'!$B$192,EJ47+EI48-ER47)))</f>
        <v>197.37499999999994</v>
      </c>
      <c r="EK48" s="18">
        <f>EJ48*VLOOKUP('Données projet'!$B$15,Paramètres!$A$1:$I$89,3,0)*VLOOKUP('Données projet'!$B$15,Paramètres!$A$1:$I$89,5,0)</f>
        <v>153.95249999999996</v>
      </c>
      <c r="EL48" s="14">
        <f t="shared" si="45"/>
        <v>39.475441267837397</v>
      </c>
      <c r="EM48" s="22">
        <f t="shared" si="19"/>
        <v>336.88699770815003</v>
      </c>
      <c r="EN48" s="60">
        <f t="shared" si="20"/>
        <v>630.2203310414834</v>
      </c>
      <c r="EO48" s="60">
        <f ca="1">AVERAGE(OFFSET($EN$3,0,0,'Données projet'!$E$15+1,1))-AVERAGE(OFFSET($H$3,0,0,'Données projet'!$E$15+1,1))</f>
        <v>292.57482726862594</v>
      </c>
      <c r="EP48" s="60">
        <f t="shared" si="46"/>
        <v>283.48738729114024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>
        <f>EXP(-LN(2)/35)*EV47+(1-EXP(-LN(2)/35))/(LN(2)/35)*ER48*ES48*VLOOKUP('Données projet'!$B$15,Paramètres!$A$1:$I$89,3,0)*0.475*44/12</f>
        <v>0</v>
      </c>
      <c r="EW48" s="23">
        <f>EXP(-LN(2)/25)*EW47+(1-EXP(-LN(2)/25))/(LN(2)/25)*Calculateur!ER48*Calculateur!ET48*VLOOKUP('Données projet'!$B$15,Paramètres!$A$1:$I$89,3,0)*0.475*44/12</f>
        <v>0</v>
      </c>
      <c r="EX48" s="23">
        <f>EXP(-LN(2)/2)*EX47+(1-EXP(-LN(2)/2))/(LN(2)/2)*ER48*EU48*VLOOKUP('Données projet'!$B$15,Paramètres!$A$1:$I$89,3,0)*0.475*44/12</f>
        <v>0</v>
      </c>
      <c r="EY48" s="24">
        <f t="shared" si="21"/>
        <v>0</v>
      </c>
      <c r="EZ48" s="77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0" t="e">
        <f t="shared" si="23"/>
        <v>#N/A</v>
      </c>
      <c r="FJ48" s="60" t="e">
        <f ca="1">AVERAGE(OFFSET($FI$3,0,0,'Données projet'!$E$16+1,1))-AVERAGE(OFFSET($H$3,0,0,'Données projet'!$E$16+1,1))</f>
        <v>#N/A</v>
      </c>
      <c r="FK48" s="60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77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0" t="e">
        <f t="shared" si="26"/>
        <v>#N/A</v>
      </c>
      <c r="GE48" s="60" t="e">
        <f ca="1">AVERAGE(OFFSET($GD$3,0,0,'Données projet'!$E$17+1,1))-AVERAGE(OFFSET($H$3,0,0,'Données projet'!$E$17+1,1))</f>
        <v>#N/A</v>
      </c>
      <c r="GF48" s="60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77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0" t="e">
        <f t="shared" si="29"/>
        <v>#N/A</v>
      </c>
      <c r="GZ48" s="60" t="e">
        <f ca="1">AVERAGE(OFFSET($GY$3,0,0,'Données projet'!$E$18+1,1))-AVERAGE(OFFSET($H$3,0,0,'Données projet'!$E$18+1,1))</f>
        <v>#N/A</v>
      </c>
      <c r="HA48" s="60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25">
      <c r="A49" s="11">
        <f t="shared" si="31"/>
        <v>46</v>
      </c>
      <c r="B49" s="74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2">
        <f t="shared" si="32"/>
        <v>0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0</v>
      </c>
      <c r="H49" s="67">
        <f t="shared" si="1"/>
        <v>256.66666666666669</v>
      </c>
      <c r="I49" s="7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6.025641025641022</v>
      </c>
      <c r="N49" s="14">
        <f>IF('Données projet'!$A$36&gt;35,N48+M49-V48,IF(A49&lt;'Données projet'!$A$36,$K$205^A49,IF(A49='Données projet'!$A$36,'Données projet'!$B$36,N48+M49-V48)))</f>
        <v>180.38461538461533</v>
      </c>
      <c r="O49" s="14">
        <f>N49*VLOOKUP('Données projet'!$B$9,Paramètres!$A$1:$I$89,3,0)*VLOOKUP('Données projet'!$B$9,Paramètres!$A$1:$I$89,5,0)</f>
        <v>171.65399999999994</v>
      </c>
      <c r="P49" s="14">
        <f t="shared" si="33"/>
        <v>43.460255556663185</v>
      </c>
      <c r="Q49" s="22">
        <f t="shared" si="53"/>
        <v>374.65732842785491</v>
      </c>
      <c r="R49" s="60">
        <f t="shared" si="0"/>
        <v>667.99066176118822</v>
      </c>
      <c r="S49" s="60">
        <f ca="1">AVERAGE(OFFSET($R$3,0,0,'Données projet'!$E$9+1,1))-AVERAGE(OFFSET($H$3,0,0,'Données projet'!$E$9+1,1))</f>
        <v>403.49781966317852</v>
      </c>
      <c r="T49" s="60">
        <f t="shared" si="34"/>
        <v>326.06674572505409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0</v>
      </c>
      <c r="AA49" s="23">
        <f>EXP(-LN(2)/25)*AA48+(1-EXP(-LN(2)/25))/(LN(2)/25)*Calculateur!V49*Calculateur!X49*VLOOKUP('Données projet'!$B$9,Paramètres!$A$1:$I$89,3,0)*0.475*44/12</f>
        <v>0</v>
      </c>
      <c r="AB49" s="23">
        <f>EXP(-LN(2)/2)*AB48+(1-EXP(-LN(2)/2))/(LN(2)/2)*V49*Y49*VLOOKUP('Données projet'!$B$9,Paramètres!$A$1:$I$89,3,0)*0.475*44/12</f>
        <v>0</v>
      </c>
      <c r="AC49" s="24">
        <f t="shared" si="3"/>
        <v>0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5.4</v>
      </c>
      <c r="AI49" s="14">
        <f>IF('Données projet'!$A$62&gt;35,AI48+AH49-AQ48,IF(A49&lt;'Données projet'!$A$62,$AF$205^A49,IF(A49='Données projet'!$A$62,'Données projet'!$B$62,AI48+AH49-AQ48)))</f>
        <v>152.39999999999992</v>
      </c>
      <c r="AJ49" s="14">
        <f>AI49*VLOOKUP('Données projet'!$B$10,Paramètres!$A$1:$I$89,3,0)*VLOOKUP('Données projet'!$B$10,Paramètres!$A$1:$I$89,5,0)</f>
        <v>133.13663999999994</v>
      </c>
      <c r="AK49" s="14">
        <f t="shared" si="35"/>
        <v>34.720135986247143</v>
      </c>
      <c r="AL49" s="22">
        <f t="shared" si="4"/>
        <v>292.35055150938035</v>
      </c>
      <c r="AM49" s="60">
        <f t="shared" si="5"/>
        <v>585.68388484271372</v>
      </c>
      <c r="AN49" s="60">
        <f ca="1">AVERAGE(OFFSET($AM$3,0,0,'Données projet'!$E$10+1,1))-AVERAGE(OFFSET($H$3,0,0,'Données projet'!$E$10+1,1))</f>
        <v>274.66236526869056</v>
      </c>
      <c r="AO49" s="60">
        <f t="shared" si="36"/>
        <v>256.90876395053073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>
        <f>EXP(-LN(2)/35)*AU48+(1-EXP(-LN(2)/35))/(LN(2)/35)*AQ49*AR49*VLOOKUP('Données projet'!$B$10,Paramètres!$A$1:$I$89,3,0)*0.475*44/12</f>
        <v>0</v>
      </c>
      <c r="AV49" s="23">
        <f>EXP(-LN(2)/25)*AV48+(1-EXP(-LN(2)/25))/(LN(2)/25)*Calculateur!AQ49*Calculateur!AS49*VLOOKUP('Données projet'!$B$10,Paramètres!$A$1:$I$89,3,0)*0.475*44/12</f>
        <v>0</v>
      </c>
      <c r="AW49" s="23">
        <f>EXP(-LN(2)/2)*AW48+(1-EXP(-LN(2)/2))/(LN(2)/2)*AQ49*AT49*VLOOKUP('Données projet'!$B$10,Paramètres!$A$1:$I$89,3,0)*0.475*44/12</f>
        <v>0</v>
      </c>
      <c r="AX49" s="23">
        <f t="shared" si="6"/>
        <v>0</v>
      </c>
      <c r="AY49" s="76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11</v>
      </c>
      <c r="BD49" s="13">
        <f>IF('Données projet'!$A$88&gt;35,BD48+BC49-BL48,IF(A49&lt;'Données projet'!$A$88,$BA$205^A49,IF(A49='Données projet'!$A$88,'Données projet'!$B$88,BD48+BC49-BL48)))</f>
        <v>187.00000000000006</v>
      </c>
      <c r="BE49" s="14">
        <f>BD49*VLOOKUP('Données projet'!$B$11,Paramètres!$A$1:$I$89,3,0)*VLOOKUP('Données projet'!$B$11,Paramètres!$A$1:$I$89,5,0)</f>
        <v>169.19760000000005</v>
      </c>
      <c r="BF49" s="14">
        <f t="shared" si="37"/>
        <v>42.910263223432885</v>
      </c>
      <c r="BG49" s="22">
        <f t="shared" si="7"/>
        <v>369.42119511414563</v>
      </c>
      <c r="BH49" s="60">
        <f t="shared" si="8"/>
        <v>662.75452844747895</v>
      </c>
      <c r="BI49" s="60">
        <f ca="1">AVERAGE(OFFSET($BH$3,0,0,'Données projet'!$E$11+1,1))-AVERAGE(OFFSET($H$3,0,0,'Données projet'!$E$11+1,1))</f>
        <v>529.25712986118265</v>
      </c>
      <c r="BJ49" s="60">
        <f t="shared" si="38"/>
        <v>278.21741231699929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>
        <f>EXP(-LN(2)/35)*BP48+(1-EXP(-LN(2)/35))/(LN(2)/35)*BL49*BM49*VLOOKUP('Données projet'!$B$11,Paramètres!$A$1:$I$89,3,0)*0.475*44/12</f>
        <v>0</v>
      </c>
      <c r="BQ49" s="23">
        <f>EXP(-LN(2)/25)*BQ48+(1-EXP(-LN(2)/25))/(LN(2)/25)*Calculateur!BL49*Calculateur!BN49*VLOOKUP('Données projet'!$B$11,Paramètres!$A$1:$I$89,3,0)*0.475*44/12</f>
        <v>0</v>
      </c>
      <c r="BR49" s="23">
        <f>EXP(-LN(2)/2)*BR48+(1-EXP(-LN(2)/2))/(LN(2)/2)*BL49*BO49*VLOOKUP('Données projet'!$B$11,Paramètres!$A$1:$I$89,3,0)*0.475*44/12</f>
        <v>0</v>
      </c>
      <c r="BS49" s="24">
        <f t="shared" si="9"/>
        <v>0</v>
      </c>
      <c r="BT49" s="77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11</v>
      </c>
      <c r="BY49" s="13">
        <f>IF('Données projet'!$A$114&gt;35,BY48+BX49-CG48,IF(A49&lt;'Données projet'!$A$114,$BV$205^A49,IF(A49='Données projet'!$A$114,'Données projet'!$B$114,BY48+BX49-CG48)))</f>
        <v>187.00000000000006</v>
      </c>
      <c r="BZ49" s="14">
        <f>BY49*VLOOKUP('Données projet'!$B$12,Paramètres!$A$1:$I$89,3,0)*VLOOKUP('Données projet'!$B$12,Paramètres!$A$1:$I$89,5,0)</f>
        <v>189.61800000000008</v>
      </c>
      <c r="CA49" s="14">
        <f t="shared" si="39"/>
        <v>47.455488185268543</v>
      </c>
      <c r="CB49" s="22">
        <f t="shared" si="10"/>
        <v>412.90299192267616</v>
      </c>
      <c r="CC49" s="60">
        <f t="shared" si="11"/>
        <v>706.23632525600942</v>
      </c>
      <c r="CD49" s="60">
        <f ca="1">AVERAGE(OFFSET($CC$3,0,0,'Données projet'!$E$12+1,1))-AVERAGE(OFFSET($H$3,0,0,'Données projet'!$E$12+1,1))</f>
        <v>587.74247372331615</v>
      </c>
      <c r="CE49" s="60">
        <f t="shared" si="40"/>
        <v>306.61893266146666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>
        <f>EXP(-LN(2)/35)*CK48+(1-EXP(-LN(2)/35))/(LN(2)/35)*CG49*CH49*VLOOKUP('Données projet'!$B$12,Paramètres!$A$1:$I$89,3,0)*0.475*44/12</f>
        <v>0</v>
      </c>
      <c r="CL49" s="23">
        <f>EXP(-LN(2)/25)*CL48+(1-EXP(-LN(2)/25))/(LN(2)/25)*Calculateur!CG49*Calculateur!CI49*VLOOKUP('Données projet'!$B$12,Paramètres!$A$1:$I$89,3,0)*0.475*44/12</f>
        <v>0</v>
      </c>
      <c r="CM49" s="23">
        <f>EXP(-LN(2)/2)*CM48+(1-EXP(-LN(2)/2))/(LN(2)/2)*CG49*CJ49*VLOOKUP('Données projet'!$B$12,Paramètres!$A$1:$I$89,3,0)*0.475*44/12</f>
        <v>0</v>
      </c>
      <c r="CN49" s="24">
        <f t="shared" si="12"/>
        <v>0</v>
      </c>
      <c r="CO49" s="77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11</v>
      </c>
      <c r="CT49" s="13">
        <f>IF('Données projet'!$A$140&gt;35,CT48+CS49-DB48,IF(A49&lt;'Données projet'!$A$140,$CQ$205^A49,IF(A49='Données projet'!$A$140,'Données projet'!$B$140,CT48+CS49-DB48)))</f>
        <v>187.00000000000006</v>
      </c>
      <c r="CU49" s="18">
        <f>CT49*VLOOKUP('Données projet'!$B$13,Paramètres!$A$1:$I$89,3,0)*VLOOKUP('Données projet'!$B$13,Paramètres!$A$1:$I$89,5,0)</f>
        <v>201.28680000000006</v>
      </c>
      <c r="CV49" s="14">
        <f t="shared" si="41"/>
        <v>50.026861773677666</v>
      </c>
      <c r="CW49" s="22">
        <f t="shared" si="13"/>
        <v>437.70462758915534</v>
      </c>
      <c r="CX49" s="60">
        <f t="shared" si="14"/>
        <v>731.03796092248865</v>
      </c>
      <c r="CY49" s="60">
        <f ca="1">AVERAGE(OFFSET($CX$3,0,0,'Données projet'!$E$13+1,1))-AVERAGE(OFFSET($H$3,0,0,'Données projet'!$E$13+1,1))</f>
        <v>621.10465023992288</v>
      </c>
      <c r="CZ49" s="60">
        <f t="shared" si="42"/>
        <v>322.81767004794284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>
        <f>EXP(-LN(2)/35)*DF48+(1-EXP(-LN(2)/35))/(LN(2)/35)*DB49*DC49*VLOOKUP('Données projet'!$B$13,Paramètres!$A$1:$I$89,3,0)*0.475*44/12</f>
        <v>0</v>
      </c>
      <c r="DG49" s="23">
        <f>EXP(-LN(2)/25)*DG48+(1-EXP(-LN(2)/25))/(LN(2)/25)*Calculateur!DB49*Calculateur!DD49*VLOOKUP('Données projet'!$B$13,Paramètres!$A$1:$I$89,3,0)*0.475*44/12</f>
        <v>0</v>
      </c>
      <c r="DH49" s="23">
        <f>EXP(-LN(2)/2)*DH48+(1-EXP(-LN(2)/2))/(LN(2)/2)*DB49*DE49*VLOOKUP('Données projet'!$B$13,Paramètres!$A$1:$I$89,3,0)*0.475*44/12</f>
        <v>0</v>
      </c>
      <c r="DI49" s="24">
        <f t="shared" si="15"/>
        <v>0</v>
      </c>
      <c r="DJ49" s="77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11</v>
      </c>
      <c r="DO49" s="13">
        <f>IF('Données projet'!$A$166&gt;35,DO48+DN49-DW48,IF(A49&lt;'Données projet'!$A$166,$DL$205^A49,IF(A49='Données projet'!$A$166,'Données projet'!$B$166,DO48+DN49-DW48)))</f>
        <v>187.00000000000006</v>
      </c>
      <c r="DP49" s="18">
        <f>DO49*VLOOKUP('Données projet'!$B$14,Paramètres!$A$1:$I$89,3,0)*VLOOKUP('Données projet'!$B$14,Paramètres!$A$1:$I$89,5,0)</f>
        <v>180.86640000000006</v>
      </c>
      <c r="DQ49" s="14">
        <f t="shared" si="43"/>
        <v>45.514890302102152</v>
      </c>
      <c r="DR49" s="22">
        <f t="shared" si="16"/>
        <v>394.28074727616132</v>
      </c>
      <c r="DS49" s="60">
        <f t="shared" si="17"/>
        <v>687.61408060949464</v>
      </c>
      <c r="DT49" s="60">
        <f ca="1">AVERAGE(OFFSET($DS$3,0,0,'Données projet'!$E$14+1,1))-AVERAGE(OFFSET($H$3,0,0,'Données projet'!$E$14+1,1))</f>
        <v>562.69380557620775</v>
      </c>
      <c r="DU49" s="60">
        <f t="shared" si="44"/>
        <v>294.45557293177131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>
        <f>EXP(-LN(2)/35)*EA48+(1-EXP(-LN(2)/35))/(LN(2)/35)*DW49*DX49*VLOOKUP('Données projet'!$B$14,Paramètres!$A$1:$I$89,3,0)*0.475*44/12</f>
        <v>0</v>
      </c>
      <c r="EB49" s="23">
        <f>EXP(-LN(2)/25)*EB48+(1-EXP(-LN(2)/25))/(LN(2)/25)*Calculateur!DW49*Calculateur!DY49*VLOOKUP('Données projet'!$B$14,Paramètres!$A$1:$I$89,3,0)*0.475*44/12</f>
        <v>0</v>
      </c>
      <c r="EC49" s="23">
        <f>EXP(-LN(2)/2)*EC48+(1-EXP(-LN(2)/2))/(LN(2)/2)*DW49*DZ49*VLOOKUP('Données projet'!$B$14,Paramètres!$A$1:$I$89,3,0)*0.475*44/12</f>
        <v>0</v>
      </c>
      <c r="ED49" s="24">
        <f t="shared" si="18"/>
        <v>0</v>
      </c>
      <c r="EE49" s="77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10.375</v>
      </c>
      <c r="EJ49" s="13">
        <f>IF('Données projet'!$A$192&gt;35,EJ48+EI49-ER48,IF(A49&lt;'Données projet'!$A$192,$EG$205^A49,IF(A49='Données projet'!$A$192,'Données projet'!$B$192,EJ48+EI49-ER48)))</f>
        <v>207.74999999999994</v>
      </c>
      <c r="EK49" s="18">
        <f>EJ49*VLOOKUP('Données projet'!$B$15,Paramètres!$A$1:$I$89,3,0)*VLOOKUP('Données projet'!$B$15,Paramètres!$A$1:$I$89,5,0)</f>
        <v>162.04499999999996</v>
      </c>
      <c r="EL49" s="14">
        <f t="shared" si="45"/>
        <v>41.303429372463391</v>
      </c>
      <c r="EM49" s="22">
        <f t="shared" si="19"/>
        <v>354.16518115704031</v>
      </c>
      <c r="EN49" s="60">
        <f t="shared" si="20"/>
        <v>647.49851449037362</v>
      </c>
      <c r="EO49" s="60">
        <f ca="1">AVERAGE(OFFSET($EN$3,0,0,'Données projet'!$E$15+1,1))-AVERAGE(OFFSET($H$3,0,0,'Données projet'!$E$15+1,1))</f>
        <v>292.57482726862594</v>
      </c>
      <c r="EP49" s="60">
        <f t="shared" si="46"/>
        <v>283.48738729114024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>
        <f>EXP(-LN(2)/35)*EV48+(1-EXP(-LN(2)/35))/(LN(2)/35)*ER49*ES49*VLOOKUP('Données projet'!$B$15,Paramètres!$A$1:$I$89,3,0)*0.475*44/12</f>
        <v>0</v>
      </c>
      <c r="EW49" s="23">
        <f>EXP(-LN(2)/25)*EW48+(1-EXP(-LN(2)/25))/(LN(2)/25)*Calculateur!ER49*Calculateur!ET49*VLOOKUP('Données projet'!$B$15,Paramètres!$A$1:$I$89,3,0)*0.475*44/12</f>
        <v>0</v>
      </c>
      <c r="EX49" s="23">
        <f>EXP(-LN(2)/2)*EX48+(1-EXP(-LN(2)/2))/(LN(2)/2)*ER49*EU49*VLOOKUP('Données projet'!$B$15,Paramètres!$A$1:$I$89,3,0)*0.475*44/12</f>
        <v>0</v>
      </c>
      <c r="EY49" s="24">
        <f t="shared" si="21"/>
        <v>0</v>
      </c>
      <c r="EZ49" s="77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0" t="e">
        <f t="shared" si="23"/>
        <v>#N/A</v>
      </c>
      <c r="FJ49" s="60" t="e">
        <f ca="1">AVERAGE(OFFSET($FI$3,0,0,'Données projet'!$E$16+1,1))-AVERAGE(OFFSET($H$3,0,0,'Données projet'!$E$16+1,1))</f>
        <v>#N/A</v>
      </c>
      <c r="FK49" s="60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77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0" t="e">
        <f t="shared" si="26"/>
        <v>#N/A</v>
      </c>
      <c r="GE49" s="60" t="e">
        <f ca="1">AVERAGE(OFFSET($GD$3,0,0,'Données projet'!$E$17+1,1))-AVERAGE(OFFSET($H$3,0,0,'Données projet'!$E$17+1,1))</f>
        <v>#N/A</v>
      </c>
      <c r="GF49" s="60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77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0" t="e">
        <f t="shared" si="29"/>
        <v>#N/A</v>
      </c>
      <c r="GZ49" s="60" t="e">
        <f ca="1">AVERAGE(OFFSET($GY$3,0,0,'Données projet'!$E$18+1,1))-AVERAGE(OFFSET($H$3,0,0,'Données projet'!$E$18+1,1))</f>
        <v>#N/A</v>
      </c>
      <c r="HA49" s="60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25">
      <c r="A50" s="11">
        <f t="shared" si="31"/>
        <v>47</v>
      </c>
      <c r="B50" s="74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2">
        <f t="shared" si="32"/>
        <v>0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0</v>
      </c>
      <c r="H50" s="67">
        <f t="shared" si="1"/>
        <v>256.66666666666669</v>
      </c>
      <c r="I50" s="7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6.025641025641022</v>
      </c>
      <c r="N50" s="14">
        <f>IF('Données projet'!$A$36&gt;35,N49+M50-V49,IF(A50&lt;'Données projet'!$A$36,$K$205^A50,IF(A50='Données projet'!$A$36,'Données projet'!$B$36,N49+M50-V49)))</f>
        <v>186.41025641025635</v>
      </c>
      <c r="O50" s="14">
        <f>N50*VLOOKUP('Données projet'!$B$9,Paramètres!$A$1:$I$89,3,0)*VLOOKUP('Données projet'!$B$9,Paramètres!$A$1:$I$89,5,0)</f>
        <v>177.38799999999995</v>
      </c>
      <c r="P50" s="14">
        <f t="shared" si="33"/>
        <v>44.740570834460435</v>
      </c>
      <c r="Q50" s="22">
        <f t="shared" si="53"/>
        <v>386.87392753668519</v>
      </c>
      <c r="R50" s="60">
        <f t="shared" si="0"/>
        <v>680.20726087001844</v>
      </c>
      <c r="S50" s="60">
        <f ca="1">AVERAGE(OFFSET($R$3,0,0,'Données projet'!$E$9+1,1))-AVERAGE(OFFSET($H$3,0,0,'Données projet'!$E$9+1,1))</f>
        <v>403.49781966317852</v>
      </c>
      <c r="T50" s="60">
        <f t="shared" si="34"/>
        <v>326.06674572505409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0</v>
      </c>
      <c r="AA50" s="23">
        <f>EXP(-LN(2)/25)*AA49+(1-EXP(-LN(2)/25))/(LN(2)/25)*Calculateur!V50*Calculateur!X50*VLOOKUP('Données projet'!$B$9,Paramètres!$A$1:$I$89,3,0)*0.475*44/12</f>
        <v>0</v>
      </c>
      <c r="AB50" s="23">
        <f>EXP(-LN(2)/2)*AB49+(1-EXP(-LN(2)/2))/(LN(2)/2)*V50*Y50*VLOOKUP('Données projet'!$B$9,Paramètres!$A$1:$I$89,3,0)*0.475*44/12</f>
        <v>0</v>
      </c>
      <c r="AC50" s="24">
        <f t="shared" si="3"/>
        <v>0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5.4</v>
      </c>
      <c r="AI50" s="14">
        <f>IF('Données projet'!$A$62&gt;35,AI49+AH50-AQ49,IF(A50&lt;'Données projet'!$A$62,$AF$205^A50,IF(A50='Données projet'!$A$62,'Données projet'!$B$62,AI49+AH50-AQ49)))</f>
        <v>157.79999999999993</v>
      </c>
      <c r="AJ50" s="14">
        <f>AI50*VLOOKUP('Données projet'!$B$10,Paramètres!$A$1:$I$89,3,0)*VLOOKUP('Données projet'!$B$10,Paramètres!$A$1:$I$89,5,0)</f>
        <v>137.85407999999995</v>
      </c>
      <c r="AK50" s="14">
        <f t="shared" si="35"/>
        <v>35.804964283629964</v>
      </c>
      <c r="AL50" s="22">
        <f t="shared" si="4"/>
        <v>302.45616879398875</v>
      </c>
      <c r="AM50" s="60">
        <f t="shared" si="5"/>
        <v>595.78950212732207</v>
      </c>
      <c r="AN50" s="60">
        <f ca="1">AVERAGE(OFFSET($AM$3,0,0,'Données projet'!$E$10+1,1))-AVERAGE(OFFSET($H$3,0,0,'Données projet'!$E$10+1,1))</f>
        <v>274.66236526869056</v>
      </c>
      <c r="AO50" s="60">
        <f t="shared" si="36"/>
        <v>256.90876395053073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>
        <f>EXP(-LN(2)/35)*AU49+(1-EXP(-LN(2)/35))/(LN(2)/35)*AQ50*AR50*VLOOKUP('Données projet'!$B$10,Paramètres!$A$1:$I$89,3,0)*0.475*44/12</f>
        <v>0</v>
      </c>
      <c r="AV50" s="23">
        <f>EXP(-LN(2)/25)*AV49+(1-EXP(-LN(2)/25))/(LN(2)/25)*Calculateur!AQ50*Calculateur!AS50*VLOOKUP('Données projet'!$B$10,Paramètres!$A$1:$I$89,3,0)*0.475*44/12</f>
        <v>0</v>
      </c>
      <c r="AW50" s="23">
        <f>EXP(-LN(2)/2)*AW49+(1-EXP(-LN(2)/2))/(LN(2)/2)*AQ50*AT50*VLOOKUP('Données projet'!$B$10,Paramètres!$A$1:$I$89,3,0)*0.475*44/12</f>
        <v>0</v>
      </c>
      <c r="AX50" s="23">
        <f t="shared" si="6"/>
        <v>0</v>
      </c>
      <c r="AY50" s="76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11</v>
      </c>
      <c r="BD50" s="13">
        <f>IF('Données projet'!$A$88&gt;35,BD49+BC50-BL49,IF(A50&lt;'Données projet'!$A$88,$BA$205^A50,IF(A50='Données projet'!$A$88,'Données projet'!$B$88,BD49+BC50-BL49)))</f>
        <v>198.00000000000006</v>
      </c>
      <c r="BE50" s="14">
        <f>BD50*VLOOKUP('Données projet'!$B$11,Paramètres!$A$1:$I$89,3,0)*VLOOKUP('Données projet'!$B$11,Paramètres!$A$1:$I$89,5,0)</f>
        <v>179.15040000000005</v>
      </c>
      <c r="BF50" s="14">
        <f t="shared" si="37"/>
        <v>45.133113803437347</v>
      </c>
      <c r="BG50" s="22">
        <f t="shared" si="7"/>
        <v>390.62711987432004</v>
      </c>
      <c r="BH50" s="60">
        <f t="shared" si="8"/>
        <v>683.96045320765336</v>
      </c>
      <c r="BI50" s="60">
        <f ca="1">AVERAGE(OFFSET($BH$3,0,0,'Données projet'!$E$11+1,1))-AVERAGE(OFFSET($H$3,0,0,'Données projet'!$E$11+1,1))</f>
        <v>529.25712986118265</v>
      </c>
      <c r="BJ50" s="60">
        <f t="shared" si="38"/>
        <v>278.21741231699929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>
        <f>EXP(-LN(2)/35)*BP49+(1-EXP(-LN(2)/35))/(LN(2)/35)*BL50*BM50*VLOOKUP('Données projet'!$B$11,Paramètres!$A$1:$I$89,3,0)*0.475*44/12</f>
        <v>0</v>
      </c>
      <c r="BQ50" s="23">
        <f>EXP(-LN(2)/25)*BQ49+(1-EXP(-LN(2)/25))/(LN(2)/25)*Calculateur!BL50*Calculateur!BN50*VLOOKUP('Données projet'!$B$11,Paramètres!$A$1:$I$89,3,0)*0.475*44/12</f>
        <v>0</v>
      </c>
      <c r="BR50" s="23">
        <f>EXP(-LN(2)/2)*BR49+(1-EXP(-LN(2)/2))/(LN(2)/2)*BL50*BO50*VLOOKUP('Données projet'!$B$11,Paramètres!$A$1:$I$89,3,0)*0.475*44/12</f>
        <v>0</v>
      </c>
      <c r="BS50" s="24">
        <f t="shared" si="9"/>
        <v>0</v>
      </c>
      <c r="BT50" s="77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11</v>
      </c>
      <c r="BY50" s="13">
        <f>IF('Données projet'!$A$114&gt;35,BY49+BX50-CG49,IF(A50&lt;'Données projet'!$A$114,$BV$205^A50,IF(A50='Données projet'!$A$114,'Données projet'!$B$114,BY49+BX50-CG49)))</f>
        <v>198.00000000000006</v>
      </c>
      <c r="BZ50" s="14">
        <f>BY50*VLOOKUP('Données projet'!$B$12,Paramètres!$A$1:$I$89,3,0)*VLOOKUP('Données projet'!$B$12,Paramètres!$A$1:$I$89,5,0)</f>
        <v>200.77200000000008</v>
      </c>
      <c r="CA50" s="14">
        <f t="shared" si="39"/>
        <v>49.913791898945412</v>
      </c>
      <c r="CB50" s="22">
        <f t="shared" si="10"/>
        <v>436.61108755732999</v>
      </c>
      <c r="CC50" s="60">
        <f t="shared" si="11"/>
        <v>729.94442089066331</v>
      </c>
      <c r="CD50" s="60">
        <f ca="1">AVERAGE(OFFSET($CC$3,0,0,'Données projet'!$E$12+1,1))-AVERAGE(OFFSET($H$3,0,0,'Données projet'!$E$12+1,1))</f>
        <v>587.74247372331615</v>
      </c>
      <c r="CE50" s="60">
        <f t="shared" si="40"/>
        <v>306.61893266146666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>
        <f>EXP(-LN(2)/35)*CK49+(1-EXP(-LN(2)/35))/(LN(2)/35)*CG50*CH50*VLOOKUP('Données projet'!$B$12,Paramètres!$A$1:$I$89,3,0)*0.475*44/12</f>
        <v>0</v>
      </c>
      <c r="CL50" s="23">
        <f>EXP(-LN(2)/25)*CL49+(1-EXP(-LN(2)/25))/(LN(2)/25)*Calculateur!CG50*Calculateur!CI50*VLOOKUP('Données projet'!$B$12,Paramètres!$A$1:$I$89,3,0)*0.475*44/12</f>
        <v>0</v>
      </c>
      <c r="CM50" s="23">
        <f>EXP(-LN(2)/2)*CM49+(1-EXP(-LN(2)/2))/(LN(2)/2)*CG50*CJ50*VLOOKUP('Données projet'!$B$12,Paramètres!$A$1:$I$89,3,0)*0.475*44/12</f>
        <v>0</v>
      </c>
      <c r="CN50" s="24">
        <f t="shared" si="12"/>
        <v>0</v>
      </c>
      <c r="CO50" s="77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11</v>
      </c>
      <c r="CT50" s="13">
        <f>IF('Données projet'!$A$140&gt;35,CT49+CS50-DB49,IF(A50&lt;'Données projet'!$A$140,$CQ$205^A50,IF(A50='Données projet'!$A$140,'Données projet'!$B$140,CT49+CS50-DB49)))</f>
        <v>198.00000000000006</v>
      </c>
      <c r="CU50" s="18">
        <f>CT50*VLOOKUP('Données projet'!$B$13,Paramètres!$A$1:$I$89,3,0)*VLOOKUP('Données projet'!$B$13,Paramètres!$A$1:$I$89,5,0)</f>
        <v>213.12720000000004</v>
      </c>
      <c r="CV50" s="14">
        <f t="shared" si="41"/>
        <v>52.618368568459893</v>
      </c>
      <c r="CW50" s="22">
        <f t="shared" si="13"/>
        <v>462.8401985900677</v>
      </c>
      <c r="CX50" s="60">
        <f t="shared" si="14"/>
        <v>756.17353192340101</v>
      </c>
      <c r="CY50" s="60">
        <f ca="1">AVERAGE(OFFSET($CX$3,0,0,'Données projet'!$E$13+1,1))-AVERAGE(OFFSET($H$3,0,0,'Données projet'!$E$13+1,1))</f>
        <v>621.10465023992288</v>
      </c>
      <c r="CZ50" s="60">
        <f t="shared" si="42"/>
        <v>322.81767004794284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>
        <f>EXP(-LN(2)/35)*DF49+(1-EXP(-LN(2)/35))/(LN(2)/35)*DB50*DC50*VLOOKUP('Données projet'!$B$13,Paramètres!$A$1:$I$89,3,0)*0.475*44/12</f>
        <v>0</v>
      </c>
      <c r="DG50" s="23">
        <f>EXP(-LN(2)/25)*DG49+(1-EXP(-LN(2)/25))/(LN(2)/25)*Calculateur!DB50*Calculateur!DD50*VLOOKUP('Données projet'!$B$13,Paramètres!$A$1:$I$89,3,0)*0.475*44/12</f>
        <v>0</v>
      </c>
      <c r="DH50" s="23">
        <f>EXP(-LN(2)/2)*DH49+(1-EXP(-LN(2)/2))/(LN(2)/2)*DB50*DE50*VLOOKUP('Données projet'!$B$13,Paramètres!$A$1:$I$89,3,0)*0.475*44/12</f>
        <v>0</v>
      </c>
      <c r="DI50" s="24">
        <f t="shared" si="15"/>
        <v>0</v>
      </c>
      <c r="DJ50" s="77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11</v>
      </c>
      <c r="DO50" s="13">
        <f>IF('Données projet'!$A$166&gt;35,DO49+DN50-DW49,IF(A50&lt;'Données projet'!$A$166,$DL$205^A50,IF(A50='Données projet'!$A$166,'Données projet'!$B$166,DO49+DN50-DW49)))</f>
        <v>198.00000000000006</v>
      </c>
      <c r="DP50" s="18">
        <f>DO50*VLOOKUP('Données projet'!$B$14,Paramètres!$A$1:$I$89,3,0)*VLOOKUP('Données projet'!$B$14,Paramètres!$A$1:$I$89,5,0)</f>
        <v>191.50560000000007</v>
      </c>
      <c r="DQ50" s="14">
        <f t="shared" si="43"/>
        <v>47.872666570685276</v>
      </c>
      <c r="DR50" s="22">
        <f t="shared" si="16"/>
        <v>416.9171476106103</v>
      </c>
      <c r="DS50" s="60">
        <f t="shared" si="17"/>
        <v>710.25048094394356</v>
      </c>
      <c r="DT50" s="60">
        <f ca="1">AVERAGE(OFFSET($DS$3,0,0,'Données projet'!$E$14+1,1))-AVERAGE(OFFSET($H$3,0,0,'Données projet'!$E$14+1,1))</f>
        <v>562.69380557620775</v>
      </c>
      <c r="DU50" s="60">
        <f t="shared" si="44"/>
        <v>294.45557293177131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>
        <f>EXP(-LN(2)/35)*EA49+(1-EXP(-LN(2)/35))/(LN(2)/35)*DW50*DX50*VLOOKUP('Données projet'!$B$14,Paramètres!$A$1:$I$89,3,0)*0.475*44/12</f>
        <v>0</v>
      </c>
      <c r="EB50" s="23">
        <f>EXP(-LN(2)/25)*EB49+(1-EXP(-LN(2)/25))/(LN(2)/25)*Calculateur!DW50*Calculateur!DY50*VLOOKUP('Données projet'!$B$14,Paramètres!$A$1:$I$89,3,0)*0.475*44/12</f>
        <v>0</v>
      </c>
      <c r="EC50" s="23">
        <f>EXP(-LN(2)/2)*EC49+(1-EXP(-LN(2)/2))/(LN(2)/2)*DW50*DZ50*VLOOKUP('Données projet'!$B$14,Paramètres!$A$1:$I$89,3,0)*0.475*44/12</f>
        <v>0</v>
      </c>
      <c r="ED50" s="24">
        <f t="shared" si="18"/>
        <v>0</v>
      </c>
      <c r="EE50" s="77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10.375</v>
      </c>
      <c r="EJ50" s="13">
        <f>IF('Données projet'!$A$192&gt;35,EJ49+EI50-ER49,IF(A50&lt;'Données projet'!$A$192,$EG$205^A50,IF(A50='Données projet'!$A$192,'Données projet'!$B$192,EJ49+EI50-ER49)))</f>
        <v>218.12499999999994</v>
      </c>
      <c r="EK50" s="18">
        <f>EJ50*VLOOKUP('Données projet'!$B$15,Paramètres!$A$1:$I$89,3,0)*VLOOKUP('Données projet'!$B$15,Paramètres!$A$1:$I$89,5,0)</f>
        <v>170.13749999999996</v>
      </c>
      <c r="EL50" s="14">
        <f t="shared" si="45"/>
        <v>43.120817562072411</v>
      </c>
      <c r="EM50" s="22">
        <f t="shared" si="19"/>
        <v>371.42490308727605</v>
      </c>
      <c r="EN50" s="60">
        <f t="shared" si="20"/>
        <v>664.75823642060936</v>
      </c>
      <c r="EO50" s="60">
        <f ca="1">AVERAGE(OFFSET($EN$3,0,0,'Données projet'!$E$15+1,1))-AVERAGE(OFFSET($H$3,0,0,'Données projet'!$E$15+1,1))</f>
        <v>292.57482726862594</v>
      </c>
      <c r="EP50" s="60">
        <f t="shared" si="46"/>
        <v>283.48738729114024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>
        <f>EXP(-LN(2)/35)*EV49+(1-EXP(-LN(2)/35))/(LN(2)/35)*ER50*ES50*VLOOKUP('Données projet'!$B$15,Paramètres!$A$1:$I$89,3,0)*0.475*44/12</f>
        <v>0</v>
      </c>
      <c r="EW50" s="23">
        <f>EXP(-LN(2)/25)*EW49+(1-EXP(-LN(2)/25))/(LN(2)/25)*Calculateur!ER50*Calculateur!ET50*VLOOKUP('Données projet'!$B$15,Paramètres!$A$1:$I$89,3,0)*0.475*44/12</f>
        <v>0</v>
      </c>
      <c r="EX50" s="23">
        <f>EXP(-LN(2)/2)*EX49+(1-EXP(-LN(2)/2))/(LN(2)/2)*ER50*EU50*VLOOKUP('Données projet'!$B$15,Paramètres!$A$1:$I$89,3,0)*0.475*44/12</f>
        <v>0</v>
      </c>
      <c r="EY50" s="24">
        <f t="shared" si="21"/>
        <v>0</v>
      </c>
      <c r="EZ50" s="77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0" t="e">
        <f t="shared" si="23"/>
        <v>#N/A</v>
      </c>
      <c r="FJ50" s="60" t="e">
        <f ca="1">AVERAGE(OFFSET($FI$3,0,0,'Données projet'!$E$16+1,1))-AVERAGE(OFFSET($H$3,0,0,'Données projet'!$E$16+1,1))</f>
        <v>#N/A</v>
      </c>
      <c r="FK50" s="60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77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0" t="e">
        <f t="shared" si="26"/>
        <v>#N/A</v>
      </c>
      <c r="GE50" s="60" t="e">
        <f ca="1">AVERAGE(OFFSET($GD$3,0,0,'Données projet'!$E$17+1,1))-AVERAGE(OFFSET($H$3,0,0,'Données projet'!$E$17+1,1))</f>
        <v>#N/A</v>
      </c>
      <c r="GF50" s="60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77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0" t="e">
        <f t="shared" si="29"/>
        <v>#N/A</v>
      </c>
      <c r="GZ50" s="60" t="e">
        <f ca="1">AVERAGE(OFFSET($GY$3,0,0,'Données projet'!$E$18+1,1))-AVERAGE(OFFSET($H$3,0,0,'Données projet'!$E$18+1,1))</f>
        <v>#N/A</v>
      </c>
      <c r="HA50" s="60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25">
      <c r="A51" s="11">
        <f t="shared" si="31"/>
        <v>48</v>
      </c>
      <c r="B51" s="74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2">
        <f t="shared" si="32"/>
        <v>0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0</v>
      </c>
      <c r="H51" s="67">
        <f t="shared" si="1"/>
        <v>256.66666666666669</v>
      </c>
      <c r="I51" s="7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6.025641025641022</v>
      </c>
      <c r="N51" s="14">
        <f>IF('Données projet'!$A$36&gt;35,N50+M51-V50,IF(A51&lt;'Données projet'!$A$36,$K$205^A51,IF(A51='Données projet'!$A$36,'Données projet'!$B$36,N50+M51-V50)))</f>
        <v>192.43589743589737</v>
      </c>
      <c r="O51" s="14">
        <f>N51*VLOOKUP('Données projet'!$B$9,Paramètres!$A$1:$I$89,3,0)*VLOOKUP('Données projet'!$B$9,Paramètres!$A$1:$I$89,5,0)</f>
        <v>183.12199999999993</v>
      </c>
      <c r="P51" s="14">
        <f t="shared" si="33"/>
        <v>46.016076982551581</v>
      </c>
      <c r="Q51" s="22">
        <f t="shared" si="53"/>
        <v>399.08215074461054</v>
      </c>
      <c r="R51" s="60">
        <f t="shared" si="0"/>
        <v>692.4154840779438</v>
      </c>
      <c r="S51" s="60">
        <f ca="1">AVERAGE(OFFSET($R$3,0,0,'Données projet'!$E$9+1,1))-AVERAGE(OFFSET($H$3,0,0,'Données projet'!$E$9+1,1))</f>
        <v>403.49781966317852</v>
      </c>
      <c r="T51" s="60">
        <f t="shared" si="34"/>
        <v>326.06674572505409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0</v>
      </c>
      <c r="AA51" s="23">
        <f>EXP(-LN(2)/25)*AA50+(1-EXP(-LN(2)/25))/(LN(2)/25)*Calculateur!V51*Calculateur!X51*VLOOKUP('Données projet'!$B$9,Paramètres!$A$1:$I$89,3,0)*0.475*44/12</f>
        <v>0</v>
      </c>
      <c r="AB51" s="23">
        <f>EXP(-LN(2)/2)*AB50+(1-EXP(-LN(2)/2))/(LN(2)/2)*V51*Y51*VLOOKUP('Données projet'!$B$9,Paramètres!$A$1:$I$89,3,0)*0.475*44/12</f>
        <v>0</v>
      </c>
      <c r="AC51" s="24">
        <f t="shared" si="3"/>
        <v>0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5.4</v>
      </c>
      <c r="AI51" s="14">
        <f>IF('Données projet'!$A$62&gt;35,AI50+AH51-AQ50,IF(A51&lt;'Données projet'!$A$62,$AF$205^A51,IF(A51='Données projet'!$A$62,'Données projet'!$B$62,AI50+AH51-AQ50)))</f>
        <v>163.19999999999993</v>
      </c>
      <c r="AJ51" s="14">
        <f>AI51*VLOOKUP('Données projet'!$B$10,Paramètres!$A$1:$I$89,3,0)*VLOOKUP('Données projet'!$B$10,Paramètres!$A$1:$I$89,5,0)</f>
        <v>142.57151999999996</v>
      </c>
      <c r="AK51" s="14">
        <f t="shared" si="35"/>
        <v>36.88547912245555</v>
      </c>
      <c r="AL51" s="22">
        <f t="shared" si="4"/>
        <v>312.55427347160997</v>
      </c>
      <c r="AM51" s="60">
        <f t="shared" si="5"/>
        <v>605.88760680494329</v>
      </c>
      <c r="AN51" s="60">
        <f ca="1">AVERAGE(OFFSET($AM$3,0,0,'Données projet'!$E$10+1,1))-AVERAGE(OFFSET($H$3,0,0,'Données projet'!$E$10+1,1))</f>
        <v>274.66236526869056</v>
      </c>
      <c r="AO51" s="60">
        <f t="shared" si="36"/>
        <v>256.90876395053073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>
        <f>EXP(-LN(2)/35)*AU50+(1-EXP(-LN(2)/35))/(LN(2)/35)*AQ51*AR51*VLOOKUP('Données projet'!$B$10,Paramètres!$A$1:$I$89,3,0)*0.475*44/12</f>
        <v>0</v>
      </c>
      <c r="AV51" s="23">
        <f>EXP(-LN(2)/25)*AV50+(1-EXP(-LN(2)/25))/(LN(2)/25)*Calculateur!AQ51*Calculateur!AS51*VLOOKUP('Données projet'!$B$10,Paramètres!$A$1:$I$89,3,0)*0.475*44/12</f>
        <v>0</v>
      </c>
      <c r="AW51" s="23">
        <f>EXP(-LN(2)/2)*AW50+(1-EXP(-LN(2)/2))/(LN(2)/2)*AQ51*AT51*VLOOKUP('Données projet'!$B$10,Paramètres!$A$1:$I$89,3,0)*0.475*44/12</f>
        <v>0</v>
      </c>
      <c r="AX51" s="23">
        <f t="shared" si="6"/>
        <v>0</v>
      </c>
      <c r="AY51" s="76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11</v>
      </c>
      <c r="BD51" s="13">
        <f>IF('Données projet'!$A$88&gt;35,BD50+BC51-BL50,IF(A51&lt;'Données projet'!$A$88,$BA$205^A51,IF(A51='Données projet'!$A$88,'Données projet'!$B$88,BD50+BC51-BL50)))</f>
        <v>209.00000000000006</v>
      </c>
      <c r="BE51" s="14">
        <f>BD51*VLOOKUP('Données projet'!$B$11,Paramètres!$A$1:$I$89,3,0)*VLOOKUP('Données projet'!$B$11,Paramètres!$A$1:$I$89,5,0)</f>
        <v>189.10320000000004</v>
      </c>
      <c r="BF51" s="14">
        <f t="shared" si="37"/>
        <v>47.341628542787163</v>
      </c>
      <c r="BG51" s="22">
        <f t="shared" si="7"/>
        <v>411.8080763786877</v>
      </c>
      <c r="BH51" s="60">
        <f t="shared" si="8"/>
        <v>705.14140971202096</v>
      </c>
      <c r="BI51" s="60">
        <f ca="1">AVERAGE(OFFSET($BH$3,0,0,'Données projet'!$E$11+1,1))-AVERAGE(OFFSET($H$3,0,0,'Données projet'!$E$11+1,1))</f>
        <v>529.25712986118265</v>
      </c>
      <c r="BJ51" s="60">
        <f t="shared" si="38"/>
        <v>278.21741231699929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>
        <f>EXP(-LN(2)/35)*BP50+(1-EXP(-LN(2)/35))/(LN(2)/35)*BL51*BM51*VLOOKUP('Données projet'!$B$11,Paramètres!$A$1:$I$89,3,0)*0.475*44/12</f>
        <v>0</v>
      </c>
      <c r="BQ51" s="23">
        <f>EXP(-LN(2)/25)*BQ50+(1-EXP(-LN(2)/25))/(LN(2)/25)*Calculateur!BL51*Calculateur!BN51*VLOOKUP('Données projet'!$B$11,Paramètres!$A$1:$I$89,3,0)*0.475*44/12</f>
        <v>0</v>
      </c>
      <c r="BR51" s="23">
        <f>EXP(-LN(2)/2)*BR50+(1-EXP(-LN(2)/2))/(LN(2)/2)*BL51*BO51*VLOOKUP('Données projet'!$B$11,Paramètres!$A$1:$I$89,3,0)*0.475*44/12</f>
        <v>0</v>
      </c>
      <c r="BS51" s="24">
        <f t="shared" si="9"/>
        <v>0</v>
      </c>
      <c r="BT51" s="77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11</v>
      </c>
      <c r="BY51" s="13">
        <f>IF('Données projet'!$A$114&gt;35,BY50+BX51-CG50,IF(A51&lt;'Données projet'!$A$114,$BV$205^A51,IF(A51='Données projet'!$A$114,'Données projet'!$B$114,BY50+BX51-CG50)))</f>
        <v>209.00000000000006</v>
      </c>
      <c r="BZ51" s="14">
        <f>BY51*VLOOKUP('Données projet'!$B$12,Paramètres!$A$1:$I$89,3,0)*VLOOKUP('Données projet'!$B$12,Paramètres!$A$1:$I$89,5,0)</f>
        <v>211.92600000000007</v>
      </c>
      <c r="CA51" s="14">
        <f t="shared" si="39"/>
        <v>52.356241262970165</v>
      </c>
      <c r="CB51" s="22">
        <f t="shared" si="10"/>
        <v>460.29157019967312</v>
      </c>
      <c r="CC51" s="60">
        <f t="shared" si="11"/>
        <v>753.62490353300643</v>
      </c>
      <c r="CD51" s="60">
        <f ca="1">AVERAGE(OFFSET($CC$3,0,0,'Données projet'!$E$12+1,1))-AVERAGE(OFFSET($H$3,0,0,'Données projet'!$E$12+1,1))</f>
        <v>587.74247372331615</v>
      </c>
      <c r="CE51" s="60">
        <f t="shared" si="40"/>
        <v>306.61893266146666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>
        <f>EXP(-LN(2)/35)*CK50+(1-EXP(-LN(2)/35))/(LN(2)/35)*CG51*CH51*VLOOKUP('Données projet'!$B$12,Paramètres!$A$1:$I$89,3,0)*0.475*44/12</f>
        <v>0</v>
      </c>
      <c r="CL51" s="23">
        <f>EXP(-LN(2)/25)*CL50+(1-EXP(-LN(2)/25))/(LN(2)/25)*Calculateur!CG51*Calculateur!CI51*VLOOKUP('Données projet'!$B$12,Paramètres!$A$1:$I$89,3,0)*0.475*44/12</f>
        <v>0</v>
      </c>
      <c r="CM51" s="23">
        <f>EXP(-LN(2)/2)*CM50+(1-EXP(-LN(2)/2))/(LN(2)/2)*CG51*CJ51*VLOOKUP('Données projet'!$B$12,Paramètres!$A$1:$I$89,3,0)*0.475*44/12</f>
        <v>0</v>
      </c>
      <c r="CN51" s="24">
        <f t="shared" si="12"/>
        <v>0</v>
      </c>
      <c r="CO51" s="77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11</v>
      </c>
      <c r="CT51" s="13">
        <f>IF('Données projet'!$A$140&gt;35,CT50+CS51-DB50,IF(A51&lt;'Données projet'!$A$140,$CQ$205^A51,IF(A51='Données projet'!$A$140,'Données projet'!$B$140,CT50+CS51-DB50)))</f>
        <v>209.00000000000006</v>
      </c>
      <c r="CU51" s="18">
        <f>CT51*VLOOKUP('Données projet'!$B$13,Paramètres!$A$1:$I$89,3,0)*VLOOKUP('Données projet'!$B$13,Paramètres!$A$1:$I$89,5,0)</f>
        <v>224.96760000000006</v>
      </c>
      <c r="CV51" s="14">
        <f t="shared" si="41"/>
        <v>55.193161946335238</v>
      </c>
      <c r="CW51" s="22">
        <f t="shared" si="13"/>
        <v>487.94666038986725</v>
      </c>
      <c r="CX51" s="60">
        <f t="shared" si="14"/>
        <v>781.2799937232005</v>
      </c>
      <c r="CY51" s="60">
        <f ca="1">AVERAGE(OFFSET($CX$3,0,0,'Données projet'!$E$13+1,1))-AVERAGE(OFFSET($H$3,0,0,'Données projet'!$E$13+1,1))</f>
        <v>621.10465023992288</v>
      </c>
      <c r="CZ51" s="60">
        <f t="shared" si="42"/>
        <v>322.81767004794284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>
        <f>EXP(-LN(2)/35)*DF50+(1-EXP(-LN(2)/35))/(LN(2)/35)*DB51*DC51*VLOOKUP('Données projet'!$B$13,Paramètres!$A$1:$I$89,3,0)*0.475*44/12</f>
        <v>0</v>
      </c>
      <c r="DG51" s="23">
        <f>EXP(-LN(2)/25)*DG50+(1-EXP(-LN(2)/25))/(LN(2)/25)*Calculateur!DB51*Calculateur!DD51*VLOOKUP('Données projet'!$B$13,Paramètres!$A$1:$I$89,3,0)*0.475*44/12</f>
        <v>0</v>
      </c>
      <c r="DH51" s="23">
        <f>EXP(-LN(2)/2)*DH50+(1-EXP(-LN(2)/2))/(LN(2)/2)*DB51*DE51*VLOOKUP('Données projet'!$B$13,Paramètres!$A$1:$I$89,3,0)*0.475*44/12</f>
        <v>0</v>
      </c>
      <c r="DI51" s="24">
        <f t="shared" si="15"/>
        <v>0</v>
      </c>
      <c r="DJ51" s="77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11</v>
      </c>
      <c r="DO51" s="13">
        <f>IF('Données projet'!$A$166&gt;35,DO50+DN51-DW50,IF(A51&lt;'Données projet'!$A$166,$DL$205^A51,IF(A51='Données projet'!$A$166,'Données projet'!$B$166,DO50+DN51-DW50)))</f>
        <v>209.00000000000006</v>
      </c>
      <c r="DP51" s="18">
        <f>DO51*VLOOKUP('Données projet'!$B$14,Paramètres!$A$1:$I$89,3,0)*VLOOKUP('Données projet'!$B$14,Paramètres!$A$1:$I$89,5,0)</f>
        <v>202.14480000000006</v>
      </c>
      <c r="DQ51" s="14">
        <f t="shared" si="43"/>
        <v>50.215236821738628</v>
      </c>
      <c r="DR51" s="22">
        <f t="shared" si="16"/>
        <v>439.52706413119489</v>
      </c>
      <c r="DS51" s="60">
        <f t="shared" si="17"/>
        <v>732.86039746452821</v>
      </c>
      <c r="DT51" s="60">
        <f ca="1">AVERAGE(OFFSET($DS$3,0,0,'Données projet'!$E$14+1,1))-AVERAGE(OFFSET($H$3,0,0,'Données projet'!$E$14+1,1))</f>
        <v>562.69380557620775</v>
      </c>
      <c r="DU51" s="60">
        <f t="shared" si="44"/>
        <v>294.45557293177131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>
        <f>EXP(-LN(2)/35)*EA50+(1-EXP(-LN(2)/35))/(LN(2)/35)*DW51*DX51*VLOOKUP('Données projet'!$B$14,Paramètres!$A$1:$I$89,3,0)*0.475*44/12</f>
        <v>0</v>
      </c>
      <c r="EB51" s="23">
        <f>EXP(-LN(2)/25)*EB50+(1-EXP(-LN(2)/25))/(LN(2)/25)*Calculateur!DW51*Calculateur!DY51*VLOOKUP('Données projet'!$B$14,Paramètres!$A$1:$I$89,3,0)*0.475*44/12</f>
        <v>0</v>
      </c>
      <c r="EC51" s="23">
        <f>EXP(-LN(2)/2)*EC50+(1-EXP(-LN(2)/2))/(LN(2)/2)*DW51*DZ51*VLOOKUP('Données projet'!$B$14,Paramètres!$A$1:$I$89,3,0)*0.475*44/12</f>
        <v>0</v>
      </c>
      <c r="ED51" s="24">
        <f t="shared" si="18"/>
        <v>0</v>
      </c>
      <c r="EE51" s="77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10.375</v>
      </c>
      <c r="EJ51" s="13">
        <f>IF('Données projet'!$A$192&gt;35,EJ50+EI51-ER50,IF(A51&lt;'Données projet'!$A$192,$EG$205^A51,IF(A51='Données projet'!$A$192,'Données projet'!$B$192,EJ50+EI51-ER50)))</f>
        <v>228.49999999999994</v>
      </c>
      <c r="EK51" s="18">
        <f>EJ51*VLOOKUP('Données projet'!$B$15,Paramètres!$A$1:$I$89,3,0)*VLOOKUP('Données projet'!$B$15,Paramètres!$A$1:$I$89,5,0)</f>
        <v>178.22999999999996</v>
      </c>
      <c r="EL51" s="14">
        <f t="shared" si="45"/>
        <v>44.928167580487852</v>
      </c>
      <c r="EM51" s="22">
        <f t="shared" si="19"/>
        <v>388.66714186934956</v>
      </c>
      <c r="EN51" s="60">
        <f t="shared" si="20"/>
        <v>682.00047520268288</v>
      </c>
      <c r="EO51" s="60">
        <f ca="1">AVERAGE(OFFSET($EN$3,0,0,'Données projet'!$E$15+1,1))-AVERAGE(OFFSET($H$3,0,0,'Données projet'!$E$15+1,1))</f>
        <v>292.57482726862594</v>
      </c>
      <c r="EP51" s="60">
        <f t="shared" si="46"/>
        <v>283.48738729114024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>
        <f>EXP(-LN(2)/35)*EV50+(1-EXP(-LN(2)/35))/(LN(2)/35)*ER51*ES51*VLOOKUP('Données projet'!$B$15,Paramètres!$A$1:$I$89,3,0)*0.475*44/12</f>
        <v>0</v>
      </c>
      <c r="EW51" s="23">
        <f>EXP(-LN(2)/25)*EW50+(1-EXP(-LN(2)/25))/(LN(2)/25)*Calculateur!ER51*Calculateur!ET51*VLOOKUP('Données projet'!$B$15,Paramètres!$A$1:$I$89,3,0)*0.475*44/12</f>
        <v>0</v>
      </c>
      <c r="EX51" s="23">
        <f>EXP(-LN(2)/2)*EX50+(1-EXP(-LN(2)/2))/(LN(2)/2)*ER51*EU51*VLOOKUP('Données projet'!$B$15,Paramètres!$A$1:$I$89,3,0)*0.475*44/12</f>
        <v>0</v>
      </c>
      <c r="EY51" s="24">
        <f t="shared" si="21"/>
        <v>0</v>
      </c>
      <c r="EZ51" s="77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0" t="e">
        <f t="shared" si="23"/>
        <v>#N/A</v>
      </c>
      <c r="FJ51" s="60" t="e">
        <f ca="1">AVERAGE(OFFSET($FI$3,0,0,'Données projet'!$E$16+1,1))-AVERAGE(OFFSET($H$3,0,0,'Données projet'!$E$16+1,1))</f>
        <v>#N/A</v>
      </c>
      <c r="FK51" s="60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77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0" t="e">
        <f t="shared" si="26"/>
        <v>#N/A</v>
      </c>
      <c r="GE51" s="60" t="e">
        <f ca="1">AVERAGE(OFFSET($GD$3,0,0,'Données projet'!$E$17+1,1))-AVERAGE(OFFSET($H$3,0,0,'Données projet'!$E$17+1,1))</f>
        <v>#N/A</v>
      </c>
      <c r="GF51" s="60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77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0" t="e">
        <f t="shared" si="29"/>
        <v>#N/A</v>
      </c>
      <c r="GZ51" s="60" t="e">
        <f ca="1">AVERAGE(OFFSET($GY$3,0,0,'Données projet'!$E$18+1,1))-AVERAGE(OFFSET($H$3,0,0,'Données projet'!$E$18+1,1))</f>
        <v>#N/A</v>
      </c>
      <c r="HA51" s="60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25">
      <c r="A52" s="11">
        <f t="shared" si="31"/>
        <v>49</v>
      </c>
      <c r="B52" s="74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2">
        <f t="shared" si="32"/>
        <v>0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0</v>
      </c>
      <c r="H52" s="67">
        <f t="shared" si="1"/>
        <v>256.66666666666669</v>
      </c>
      <c r="I52" s="7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6.025641025641022</v>
      </c>
      <c r="N52" s="14">
        <f>IF('Données projet'!$A$36&gt;35,N51+M52-V51,IF(A52&lt;'Données projet'!$A$36,$K$205^A52,IF(A52='Données projet'!$A$36,'Données projet'!$B$36,N51+M52-V51)))</f>
        <v>198.4615384615384</v>
      </c>
      <c r="O52" s="14">
        <f>N52*VLOOKUP('Données projet'!$B$9,Paramètres!$A$1:$I$89,3,0)*VLOOKUP('Données projet'!$B$9,Paramètres!$A$1:$I$89,5,0)</f>
        <v>188.85599999999994</v>
      </c>
      <c r="P52" s="14">
        <f t="shared" si="33"/>
        <v>47.286941864448139</v>
      </c>
      <c r="Q52" s="22">
        <f t="shared" si="53"/>
        <v>411.28229041391364</v>
      </c>
      <c r="R52" s="60">
        <f t="shared" si="0"/>
        <v>704.6156237472469</v>
      </c>
      <c r="S52" s="60">
        <f ca="1">AVERAGE(OFFSET($R$3,0,0,'Données projet'!$E$9+1,1))-AVERAGE(OFFSET($H$3,0,0,'Données projet'!$E$9+1,1))</f>
        <v>403.49781966317852</v>
      </c>
      <c r="T52" s="60">
        <f t="shared" si="34"/>
        <v>326.06674572505409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0</v>
      </c>
      <c r="AA52" s="23">
        <f>EXP(-LN(2)/25)*AA51+(1-EXP(-LN(2)/25))/(LN(2)/25)*Calculateur!V52*Calculateur!X52*VLOOKUP('Données projet'!$B$9,Paramètres!$A$1:$I$89,3,0)*0.475*44/12</f>
        <v>0</v>
      </c>
      <c r="AB52" s="23">
        <f>EXP(-LN(2)/2)*AB51+(1-EXP(-LN(2)/2))/(LN(2)/2)*V52*Y52*VLOOKUP('Données projet'!$B$9,Paramètres!$A$1:$I$89,3,0)*0.475*44/12</f>
        <v>0</v>
      </c>
      <c r="AC52" s="24">
        <f t="shared" si="3"/>
        <v>0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5.4</v>
      </c>
      <c r="AI52" s="14">
        <f>IF('Données projet'!$A$62&gt;35,AI51+AH52-AQ51,IF(A52&lt;'Données projet'!$A$62,$AF$205^A52,IF(A52='Données projet'!$A$62,'Données projet'!$B$62,AI51+AH52-AQ51)))</f>
        <v>168.59999999999994</v>
      </c>
      <c r="AJ52" s="14">
        <f>AI52*VLOOKUP('Données projet'!$B$10,Paramètres!$A$1:$I$89,3,0)*VLOOKUP('Données projet'!$B$10,Paramètres!$A$1:$I$89,5,0)</f>
        <v>147.28895999999995</v>
      </c>
      <c r="AK52" s="14">
        <f t="shared" si="35"/>
        <v>37.961839593121908</v>
      </c>
      <c r="AL52" s="22">
        <f t="shared" si="4"/>
        <v>322.6451426246872</v>
      </c>
      <c r="AM52" s="60">
        <f t="shared" si="5"/>
        <v>615.97847595802045</v>
      </c>
      <c r="AN52" s="60">
        <f ca="1">AVERAGE(OFFSET($AM$3,0,0,'Données projet'!$E$10+1,1))-AVERAGE(OFFSET($H$3,0,0,'Données projet'!$E$10+1,1))</f>
        <v>274.66236526869056</v>
      </c>
      <c r="AO52" s="60">
        <f t="shared" si="36"/>
        <v>256.90876395053073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>
        <f>EXP(-LN(2)/35)*AU51+(1-EXP(-LN(2)/35))/(LN(2)/35)*AQ52*AR52*VLOOKUP('Données projet'!$B$10,Paramètres!$A$1:$I$89,3,0)*0.475*44/12</f>
        <v>0</v>
      </c>
      <c r="AV52" s="23">
        <f>EXP(-LN(2)/25)*AV51+(1-EXP(-LN(2)/25))/(LN(2)/25)*Calculateur!AQ52*Calculateur!AS52*VLOOKUP('Données projet'!$B$10,Paramètres!$A$1:$I$89,3,0)*0.475*44/12</f>
        <v>0</v>
      </c>
      <c r="AW52" s="23">
        <f>EXP(-LN(2)/2)*AW51+(1-EXP(-LN(2)/2))/(LN(2)/2)*AQ52*AT52*VLOOKUP('Données projet'!$B$10,Paramètres!$A$1:$I$89,3,0)*0.475*44/12</f>
        <v>0</v>
      </c>
      <c r="AX52" s="23">
        <f t="shared" si="6"/>
        <v>0</v>
      </c>
      <c r="AY52" s="76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11</v>
      </c>
      <c r="BD52" s="13">
        <f>IF('Données projet'!$A$88&gt;35,BD51+BC52-BL51,IF(A52&lt;'Données projet'!$A$88,$BA$205^A52,IF(A52='Données projet'!$A$88,'Données projet'!$B$88,BD51+BC52-BL51)))</f>
        <v>220.00000000000006</v>
      </c>
      <c r="BE52" s="14">
        <f>BD52*VLOOKUP('Données projet'!$B$11,Paramètres!$A$1:$I$89,3,0)*VLOOKUP('Données projet'!$B$11,Paramètres!$A$1:$I$89,5,0)</f>
        <v>199.05600000000004</v>
      </c>
      <c r="BF52" s="14">
        <f t="shared" si="37"/>
        <v>49.536648006253934</v>
      </c>
      <c r="BG52" s="22">
        <f t="shared" si="7"/>
        <v>432.96552861089231</v>
      </c>
      <c r="BH52" s="60">
        <f t="shared" si="8"/>
        <v>726.29886194422556</v>
      </c>
      <c r="BI52" s="60">
        <f ca="1">AVERAGE(OFFSET($BH$3,0,0,'Données projet'!$E$11+1,1))-AVERAGE(OFFSET($H$3,0,0,'Données projet'!$E$11+1,1))</f>
        <v>529.25712986118265</v>
      </c>
      <c r="BJ52" s="60">
        <f t="shared" si="38"/>
        <v>278.21741231699929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>
        <f>EXP(-LN(2)/35)*BP51+(1-EXP(-LN(2)/35))/(LN(2)/35)*BL52*BM52*VLOOKUP('Données projet'!$B$11,Paramètres!$A$1:$I$89,3,0)*0.475*44/12</f>
        <v>0</v>
      </c>
      <c r="BQ52" s="23">
        <f>EXP(-LN(2)/25)*BQ51+(1-EXP(-LN(2)/25))/(LN(2)/25)*Calculateur!BL52*Calculateur!BN52*VLOOKUP('Données projet'!$B$11,Paramètres!$A$1:$I$89,3,0)*0.475*44/12</f>
        <v>0</v>
      </c>
      <c r="BR52" s="23">
        <f>EXP(-LN(2)/2)*BR51+(1-EXP(-LN(2)/2))/(LN(2)/2)*BL52*BO52*VLOOKUP('Données projet'!$B$11,Paramètres!$A$1:$I$89,3,0)*0.475*44/12</f>
        <v>0</v>
      </c>
      <c r="BS52" s="24">
        <f t="shared" si="9"/>
        <v>0</v>
      </c>
      <c r="BT52" s="77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11</v>
      </c>
      <c r="BY52" s="13">
        <f>IF('Données projet'!$A$114&gt;35,BY51+BX52-CG51,IF(A52&lt;'Données projet'!$A$114,$BV$205^A52,IF(A52='Données projet'!$A$114,'Données projet'!$B$114,BY51+BX52-CG51)))</f>
        <v>220.00000000000006</v>
      </c>
      <c r="BZ52" s="14">
        <f>BY52*VLOOKUP('Données projet'!$B$12,Paramètres!$A$1:$I$89,3,0)*VLOOKUP('Données projet'!$B$12,Paramètres!$A$1:$I$89,5,0)</f>
        <v>223.08000000000004</v>
      </c>
      <c r="CA52" s="14">
        <f t="shared" si="39"/>
        <v>54.783765878062667</v>
      </c>
      <c r="CB52" s="22">
        <f t="shared" si="10"/>
        <v>483.94605890429256</v>
      </c>
      <c r="CC52" s="60">
        <f t="shared" si="11"/>
        <v>777.27939223762587</v>
      </c>
      <c r="CD52" s="60">
        <f ca="1">AVERAGE(OFFSET($CC$3,0,0,'Données projet'!$E$12+1,1))-AVERAGE(OFFSET($H$3,0,0,'Données projet'!$E$12+1,1))</f>
        <v>587.74247372331615</v>
      </c>
      <c r="CE52" s="60">
        <f t="shared" si="40"/>
        <v>306.61893266146666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>
        <f>EXP(-LN(2)/35)*CK51+(1-EXP(-LN(2)/35))/(LN(2)/35)*CG52*CH52*VLOOKUP('Données projet'!$B$12,Paramètres!$A$1:$I$89,3,0)*0.475*44/12</f>
        <v>0</v>
      </c>
      <c r="CL52" s="23">
        <f>EXP(-LN(2)/25)*CL51+(1-EXP(-LN(2)/25))/(LN(2)/25)*Calculateur!CG52*Calculateur!CI52*VLOOKUP('Données projet'!$B$12,Paramètres!$A$1:$I$89,3,0)*0.475*44/12</f>
        <v>0</v>
      </c>
      <c r="CM52" s="23">
        <f>EXP(-LN(2)/2)*CM51+(1-EXP(-LN(2)/2))/(LN(2)/2)*CG52*CJ52*VLOOKUP('Données projet'!$B$12,Paramètres!$A$1:$I$89,3,0)*0.475*44/12</f>
        <v>0</v>
      </c>
      <c r="CN52" s="24">
        <f t="shared" si="12"/>
        <v>0</v>
      </c>
      <c r="CO52" s="77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11</v>
      </c>
      <c r="CT52" s="13">
        <f>IF('Données projet'!$A$140&gt;35,CT51+CS52-DB51,IF(A52&lt;'Données projet'!$A$140,$CQ$205^A52,IF(A52='Données projet'!$A$140,'Données projet'!$B$140,CT51+CS52-DB51)))</f>
        <v>220.00000000000006</v>
      </c>
      <c r="CU52" s="18">
        <f>CT52*VLOOKUP('Données projet'!$B$13,Paramètres!$A$1:$I$89,3,0)*VLOOKUP('Données projet'!$B$13,Paramètres!$A$1:$I$89,5,0)</f>
        <v>236.80800000000008</v>
      </c>
      <c r="CV52" s="14">
        <f t="shared" si="41"/>
        <v>57.752221878398714</v>
      </c>
      <c r="CW52" s="22">
        <f t="shared" si="13"/>
        <v>513.02571977154446</v>
      </c>
      <c r="CX52" s="60">
        <f t="shared" si="14"/>
        <v>806.35905310487783</v>
      </c>
      <c r="CY52" s="60">
        <f ca="1">AVERAGE(OFFSET($CX$3,0,0,'Données projet'!$E$13+1,1))-AVERAGE(OFFSET($H$3,0,0,'Données projet'!$E$13+1,1))</f>
        <v>621.10465023992288</v>
      </c>
      <c r="CZ52" s="60">
        <f t="shared" si="42"/>
        <v>322.81767004794284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>
        <f>EXP(-LN(2)/35)*DF51+(1-EXP(-LN(2)/35))/(LN(2)/35)*DB52*DC52*VLOOKUP('Données projet'!$B$13,Paramètres!$A$1:$I$89,3,0)*0.475*44/12</f>
        <v>0</v>
      </c>
      <c r="DG52" s="23">
        <f>EXP(-LN(2)/25)*DG51+(1-EXP(-LN(2)/25))/(LN(2)/25)*Calculateur!DB52*Calculateur!DD52*VLOOKUP('Données projet'!$B$13,Paramètres!$A$1:$I$89,3,0)*0.475*44/12</f>
        <v>0</v>
      </c>
      <c r="DH52" s="23">
        <f>EXP(-LN(2)/2)*DH51+(1-EXP(-LN(2)/2))/(LN(2)/2)*DB52*DE52*VLOOKUP('Données projet'!$B$13,Paramètres!$A$1:$I$89,3,0)*0.475*44/12</f>
        <v>0</v>
      </c>
      <c r="DI52" s="24">
        <f t="shared" si="15"/>
        <v>0</v>
      </c>
      <c r="DJ52" s="77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11</v>
      </c>
      <c r="DO52" s="13">
        <f>IF('Données projet'!$A$166&gt;35,DO51+DN52-DW51,IF(A52&lt;'Données projet'!$A$166,$DL$205^A52,IF(A52='Données projet'!$A$166,'Données projet'!$B$166,DO51+DN52-DW51)))</f>
        <v>220.00000000000006</v>
      </c>
      <c r="DP52" s="18">
        <f>DO52*VLOOKUP('Données projet'!$B$14,Paramètres!$A$1:$I$89,3,0)*VLOOKUP('Données projet'!$B$14,Paramètres!$A$1:$I$89,5,0)</f>
        <v>212.78400000000005</v>
      </c>
      <c r="DQ52" s="14">
        <f t="shared" si="43"/>
        <v>52.543492641808108</v>
      </c>
      <c r="DR52" s="22">
        <f t="shared" si="16"/>
        <v>462.11204968448243</v>
      </c>
      <c r="DS52" s="60">
        <f t="shared" si="17"/>
        <v>755.44538301781574</v>
      </c>
      <c r="DT52" s="60">
        <f ca="1">AVERAGE(OFFSET($DS$3,0,0,'Données projet'!$E$14+1,1))-AVERAGE(OFFSET($H$3,0,0,'Données projet'!$E$14+1,1))</f>
        <v>562.69380557620775</v>
      </c>
      <c r="DU52" s="60">
        <f t="shared" si="44"/>
        <v>294.45557293177131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>
        <f>EXP(-LN(2)/35)*EA51+(1-EXP(-LN(2)/35))/(LN(2)/35)*DW52*DX52*VLOOKUP('Données projet'!$B$14,Paramètres!$A$1:$I$89,3,0)*0.475*44/12</f>
        <v>0</v>
      </c>
      <c r="EB52" s="23">
        <f>EXP(-LN(2)/25)*EB51+(1-EXP(-LN(2)/25))/(LN(2)/25)*Calculateur!DW52*Calculateur!DY52*VLOOKUP('Données projet'!$B$14,Paramètres!$A$1:$I$89,3,0)*0.475*44/12</f>
        <v>0</v>
      </c>
      <c r="EC52" s="23">
        <f>EXP(-LN(2)/2)*EC51+(1-EXP(-LN(2)/2))/(LN(2)/2)*DW52*DZ52*VLOOKUP('Données projet'!$B$14,Paramètres!$A$1:$I$89,3,0)*0.475*44/12</f>
        <v>0</v>
      </c>
      <c r="ED52" s="24">
        <f t="shared" si="18"/>
        <v>0</v>
      </c>
      <c r="EE52" s="77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10.375</v>
      </c>
      <c r="EJ52" s="13">
        <f>IF('Données projet'!$A$192&gt;35,EJ51+EI52-ER51,IF(A52&lt;'Données projet'!$A$192,$EG$205^A52,IF(A52='Données projet'!$A$192,'Données projet'!$B$192,EJ51+EI52-ER51)))</f>
        <v>238.87499999999994</v>
      </c>
      <c r="EK52" s="18">
        <f>EJ52*VLOOKUP('Données projet'!$B$15,Paramètres!$A$1:$I$89,3,0)*VLOOKUP('Données projet'!$B$15,Paramètres!$A$1:$I$89,5,0)</f>
        <v>186.32249999999996</v>
      </c>
      <c r="EL52" s="14">
        <f t="shared" si="45"/>
        <v>46.725987276254116</v>
      </c>
      <c r="EM52" s="22">
        <f t="shared" si="19"/>
        <v>405.89278200614257</v>
      </c>
      <c r="EN52" s="60">
        <f t="shared" si="20"/>
        <v>699.22611533947588</v>
      </c>
      <c r="EO52" s="60">
        <f ca="1">AVERAGE(OFFSET($EN$3,0,0,'Données projet'!$E$15+1,1))-AVERAGE(OFFSET($H$3,0,0,'Données projet'!$E$15+1,1))</f>
        <v>292.57482726862594</v>
      </c>
      <c r="EP52" s="60">
        <f t="shared" si="46"/>
        <v>283.48738729114024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>
        <f>EXP(-LN(2)/35)*EV51+(1-EXP(-LN(2)/35))/(LN(2)/35)*ER52*ES52*VLOOKUP('Données projet'!$B$15,Paramètres!$A$1:$I$89,3,0)*0.475*44/12</f>
        <v>0</v>
      </c>
      <c r="EW52" s="23">
        <f>EXP(-LN(2)/25)*EW51+(1-EXP(-LN(2)/25))/(LN(2)/25)*Calculateur!ER52*Calculateur!ET52*VLOOKUP('Données projet'!$B$15,Paramètres!$A$1:$I$89,3,0)*0.475*44/12</f>
        <v>0</v>
      </c>
      <c r="EX52" s="23">
        <f>EXP(-LN(2)/2)*EX51+(1-EXP(-LN(2)/2))/(LN(2)/2)*ER52*EU52*VLOOKUP('Données projet'!$B$15,Paramètres!$A$1:$I$89,3,0)*0.475*44/12</f>
        <v>0</v>
      </c>
      <c r="EY52" s="24">
        <f t="shared" si="21"/>
        <v>0</v>
      </c>
      <c r="EZ52" s="77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0" t="e">
        <f t="shared" si="23"/>
        <v>#N/A</v>
      </c>
      <c r="FJ52" s="60" t="e">
        <f ca="1">AVERAGE(OFFSET($FI$3,0,0,'Données projet'!$E$16+1,1))-AVERAGE(OFFSET($H$3,0,0,'Données projet'!$E$16+1,1))</f>
        <v>#N/A</v>
      </c>
      <c r="FK52" s="60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77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0" t="e">
        <f t="shared" si="26"/>
        <v>#N/A</v>
      </c>
      <c r="GE52" s="60" t="e">
        <f ca="1">AVERAGE(OFFSET($GD$3,0,0,'Données projet'!$E$17+1,1))-AVERAGE(OFFSET($H$3,0,0,'Données projet'!$E$17+1,1))</f>
        <v>#N/A</v>
      </c>
      <c r="GF52" s="60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77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0" t="e">
        <f t="shared" si="29"/>
        <v>#N/A</v>
      </c>
      <c r="GZ52" s="60" t="e">
        <f ca="1">AVERAGE(OFFSET($GY$3,0,0,'Données projet'!$E$18+1,1))-AVERAGE(OFFSET($H$3,0,0,'Données projet'!$E$18+1,1))</f>
        <v>#N/A</v>
      </c>
      <c r="HA52" s="60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25">
      <c r="A53" s="11">
        <f t="shared" si="31"/>
        <v>50</v>
      </c>
      <c r="B53" s="74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2">
        <f t="shared" si="32"/>
        <v>0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0</v>
      </c>
      <c r="H53" s="67">
        <f t="shared" si="1"/>
        <v>256.66666666666669</v>
      </c>
      <c r="I53" s="7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>
        <f>VLOOKUP(A53,'Données projet'!$A$35:$I$55,2,0)</f>
        <v>204.48717948717947</v>
      </c>
      <c r="L53" s="13">
        <f>VLOOKUP(A53,'Données projet'!$A$35:$I$55,9,0)</f>
        <v>6.025641025641022</v>
      </c>
      <c r="M53" s="13">
        <f t="array" ref="M53">INDEX(L:L,MIN(IF(ISNUMBER(L53:L249),ROW(L53:L249),"")))</f>
        <v>6.025641025641022</v>
      </c>
      <c r="N53" s="14">
        <f>IF('Données projet'!$A$36&gt;35,N52+M53-V52,IF(A53&lt;'Données projet'!$A$36,$K$205^A53,IF(A53='Données projet'!$A$36,'Données projet'!$B$36,N52+M53-V52)))</f>
        <v>204.48717948717942</v>
      </c>
      <c r="O53" s="14">
        <f>N53*VLOOKUP('Données projet'!$B$9,Paramètres!$A$1:$I$89,3,0)*VLOOKUP('Données projet'!$B$9,Paramètres!$A$1:$I$89,5,0)</f>
        <v>194.58999999999995</v>
      </c>
      <c r="P53" s="14">
        <f t="shared" si="33"/>
        <v>48.553322571172053</v>
      </c>
      <c r="Q53" s="22">
        <f t="shared" si="53"/>
        <v>423.47462014479123</v>
      </c>
      <c r="R53" s="60">
        <f t="shared" si="0"/>
        <v>716.80795347812455</v>
      </c>
      <c r="S53" s="60">
        <f ca="1">AVERAGE(OFFSET($R$3,0,0,'Données projet'!$E$9+1,1))-AVERAGE(OFFSET($H$3,0,0,'Données projet'!$E$9+1,1))</f>
        <v>403.49781966317852</v>
      </c>
      <c r="T53" s="60">
        <f t="shared" si="34"/>
        <v>326.06674572505409</v>
      </c>
      <c r="U53" s="16">
        <f>IF(ISNA(VLOOKUP(A53,'Données projet'!$A$35:$I$55,3,0)),0,VLOOKUP(A53,'Données projet'!$A$35:$I$55,3,0))</f>
        <v>4</v>
      </c>
      <c r="V53" s="16">
        <f>IF(ISNA(VLOOKUP(A53,'Données projet'!$A$35:$I$55,4,0)),0,VLOOKUP(A53,'Données projet'!$A$35:$I$55,4,0))</f>
        <v>34.615384615384613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0</v>
      </c>
      <c r="AA53" s="23">
        <f>EXP(-LN(2)/25)*AA52+(1-EXP(-LN(2)/25))/(LN(2)/25)*Calculateur!V53*Calculateur!X53*VLOOKUP('Données projet'!$B$9,Paramètres!$A$1:$I$89,3,0)*0.475*44/12</f>
        <v>0</v>
      </c>
      <c r="AB53" s="23">
        <f>EXP(-LN(2)/2)*AB52+(1-EXP(-LN(2)/2))/(LN(2)/2)*V53*Y53*VLOOKUP('Données projet'!$B$9,Paramètres!$A$1:$I$89,3,0)*0.475*44/12</f>
        <v>0</v>
      </c>
      <c r="AC53" s="24">
        <f t="shared" si="3"/>
        <v>0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>
        <f>VLOOKUP(A53,'Données projet'!$A$61:$I$81,2,0)</f>
        <v>174</v>
      </c>
      <c r="AG53" s="13">
        <f>VLOOKUP(A53,'Données projet'!$A$61:$I$81,9,0)</f>
        <v>5.4</v>
      </c>
      <c r="AH53" s="13">
        <f t="array" ref="AH53">INDEX(AG:AG,MIN(IF(ISNUMBER(AG53:AG249),ROW(AG53:AG249),"")))</f>
        <v>5.4</v>
      </c>
      <c r="AI53" s="14">
        <f>IF('Données projet'!$A$62&gt;35,AI52+AH53-AQ52,IF(A53&lt;'Données projet'!$A$62,$AF$205^A53,IF(A53='Données projet'!$A$62,'Données projet'!$B$62,AI52+AH53-AQ52)))</f>
        <v>173.99999999999994</v>
      </c>
      <c r="AJ53" s="14">
        <f>AI53*VLOOKUP('Données projet'!$B$10,Paramètres!$A$1:$I$89,3,0)*VLOOKUP('Données projet'!$B$10,Paramètres!$A$1:$I$89,5,0)</f>
        <v>152.00639999999999</v>
      </c>
      <c r="AK53" s="14">
        <f t="shared" si="35"/>
        <v>39.03419401656145</v>
      </c>
      <c r="AL53" s="22">
        <f t="shared" si="4"/>
        <v>332.72903457884451</v>
      </c>
      <c r="AM53" s="60">
        <f t="shared" si="5"/>
        <v>626.06236791217782</v>
      </c>
      <c r="AN53" s="60">
        <f ca="1">AVERAGE(OFFSET($AM$3,0,0,'Données projet'!$E$10+1,1))-AVERAGE(OFFSET($H$3,0,0,'Données projet'!$E$10+1,1))</f>
        <v>274.66236526869056</v>
      </c>
      <c r="AO53" s="60">
        <f t="shared" si="36"/>
        <v>256.90876395053073</v>
      </c>
      <c r="AP53" s="16">
        <f>IF(ISNA(VLOOKUP(A53,'Données projet'!$A$61:$I$81,3,0)),0,VLOOKUP(A53,'Données projet'!$A$61:$I$81,3,0))</f>
        <v>0</v>
      </c>
      <c r="AQ53" s="16">
        <f>IF(ISNA(VLOOKUP(A53,'Données projet'!$A$61:$I$81,4,0)),0,VLOOKUP(A53,'Données projet'!$A$61:$I$81,4,0))</f>
        <v>0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>
        <f>EXP(-LN(2)/35)*AU52+(1-EXP(-LN(2)/35))/(LN(2)/35)*AQ53*AR53*VLOOKUP('Données projet'!$B$10,Paramètres!$A$1:$I$89,3,0)*0.475*44/12</f>
        <v>0</v>
      </c>
      <c r="AV53" s="23">
        <f>EXP(-LN(2)/25)*AV52+(1-EXP(-LN(2)/25))/(LN(2)/25)*Calculateur!AQ53*Calculateur!AS53*VLOOKUP('Données projet'!$B$10,Paramètres!$A$1:$I$89,3,0)*0.475*44/12</f>
        <v>0</v>
      </c>
      <c r="AW53" s="23">
        <f>EXP(-LN(2)/2)*AW52+(1-EXP(-LN(2)/2))/(LN(2)/2)*AQ53*AT53*VLOOKUP('Données projet'!$B$10,Paramètres!$A$1:$I$89,3,0)*0.475*44/12</f>
        <v>0</v>
      </c>
      <c r="AX53" s="23">
        <f t="shared" si="6"/>
        <v>0</v>
      </c>
      <c r="AY53" s="76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>
        <f>VLOOKUP(A53,'Données projet'!$A$87:$I$107,2,0)</f>
        <v>231</v>
      </c>
      <c r="BB53" s="13">
        <f>VLOOKUP(A53,'Données projet'!$A$87:$I$107,9,0)</f>
        <v>11</v>
      </c>
      <c r="BC53" s="13">
        <f t="array" ref="BC53">INDEX(BB:BB,MIN(IF(ISNUMBER(BB53:BB249),ROW(BB53:BB249),"")))</f>
        <v>11</v>
      </c>
      <c r="BD53" s="13">
        <f>IF('Données projet'!$A$88&gt;35,BD52+BC53-BL52,IF(A53&lt;'Données projet'!$A$88,$BA$205^A53,IF(A53='Données projet'!$A$88,'Données projet'!$B$88,BD52+BC53-BL52)))</f>
        <v>231.00000000000006</v>
      </c>
      <c r="BE53" s="14">
        <f>BD53*VLOOKUP('Données projet'!$B$11,Paramètres!$A$1:$I$89,3,0)*VLOOKUP('Données projet'!$B$11,Paramètres!$A$1:$I$89,5,0)</f>
        <v>209.00880000000004</v>
      </c>
      <c r="BF53" s="14">
        <f t="shared" si="37"/>
        <v>51.718923953824252</v>
      </c>
      <c r="BG53" s="22">
        <f t="shared" si="7"/>
        <v>454.10078588624395</v>
      </c>
      <c r="BH53" s="60">
        <f t="shared" si="8"/>
        <v>747.43411921957727</v>
      </c>
      <c r="BI53" s="60">
        <f ca="1">AVERAGE(OFFSET($BH$3,0,0,'Données projet'!$E$11+1,1))-AVERAGE(OFFSET($H$3,0,0,'Données projet'!$E$11+1,1))</f>
        <v>529.25712986118265</v>
      </c>
      <c r="BJ53" s="60">
        <f t="shared" si="38"/>
        <v>278.21741231699929</v>
      </c>
      <c r="BK53" s="16">
        <f>IF(ISNA(VLOOKUP(A53,'Données projet'!$A$87:$I$107,3,0)),0,VLOOKUP(A53,'Données projet'!$A$87:$I$107,3,0))</f>
        <v>0</v>
      </c>
      <c r="BL53" s="16">
        <f>IF(ISNA(VLOOKUP(A53,'Données projet'!$A$87:$I$107,4,0)),0,VLOOKUP(A53,'Données projet'!$A$87:$I$107,4,0))</f>
        <v>0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>
        <f>EXP(-LN(2)/35)*BP52+(1-EXP(-LN(2)/35))/(LN(2)/35)*BL53*BM53*VLOOKUP('Données projet'!$B$11,Paramètres!$A$1:$I$89,3,0)*0.475*44/12</f>
        <v>0</v>
      </c>
      <c r="BQ53" s="23">
        <f>EXP(-LN(2)/25)*BQ52+(1-EXP(-LN(2)/25))/(LN(2)/25)*Calculateur!BL53*Calculateur!BN53*VLOOKUP('Données projet'!$B$11,Paramètres!$A$1:$I$89,3,0)*0.475*44/12</f>
        <v>0</v>
      </c>
      <c r="BR53" s="23">
        <f>EXP(-LN(2)/2)*BR52+(1-EXP(-LN(2)/2))/(LN(2)/2)*BL53*BO53*VLOOKUP('Données projet'!$B$11,Paramètres!$A$1:$I$89,3,0)*0.475*44/12</f>
        <v>0</v>
      </c>
      <c r="BS53" s="24">
        <f t="shared" si="9"/>
        <v>0</v>
      </c>
      <c r="BT53" s="77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>
        <f>VLOOKUP(A53,'Données projet'!$A$113:$I$133,2,0)</f>
        <v>231</v>
      </c>
      <c r="BW53" s="13">
        <f>VLOOKUP(A53,'Données projet'!$A$113:$I$133,9,0)</f>
        <v>11</v>
      </c>
      <c r="BX53" s="13">
        <f t="array" ref="BX53">INDEX(BW:BW,MIN(IF(ISNUMBER(BW53:BW249),ROW(BW53:BW249),"")))</f>
        <v>11</v>
      </c>
      <c r="BY53" s="13">
        <f>IF('Données projet'!$A$114&gt;35,BY52+BX53-CG52,IF(A53&lt;'Données projet'!$A$114,$BV$205^A53,IF(A53='Données projet'!$A$114,'Données projet'!$B$114,BY52+BX53-CG52)))</f>
        <v>231.00000000000006</v>
      </c>
      <c r="BZ53" s="14">
        <f>BY53*VLOOKUP('Données projet'!$B$12,Paramètres!$A$1:$I$89,3,0)*VLOOKUP('Données projet'!$B$12,Paramètres!$A$1:$I$89,5,0)</f>
        <v>234.23400000000007</v>
      </c>
      <c r="CA53" s="14">
        <f t="shared" si="39"/>
        <v>57.197197133603488</v>
      </c>
      <c r="CB53" s="22">
        <f t="shared" si="10"/>
        <v>507.57600167435953</v>
      </c>
      <c r="CC53" s="60">
        <f t="shared" si="11"/>
        <v>800.90933500769279</v>
      </c>
      <c r="CD53" s="60">
        <f ca="1">AVERAGE(OFFSET($CC$3,0,0,'Données projet'!$E$12+1,1))-AVERAGE(OFFSET($H$3,0,0,'Données projet'!$E$12+1,1))</f>
        <v>587.74247372331615</v>
      </c>
      <c r="CE53" s="60">
        <f t="shared" si="40"/>
        <v>306.61893266146666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>
        <f>EXP(-LN(2)/35)*CK52+(1-EXP(-LN(2)/35))/(LN(2)/35)*CG53*CH53*VLOOKUP('Données projet'!$B$12,Paramètres!$A$1:$I$89,3,0)*0.475*44/12</f>
        <v>0</v>
      </c>
      <c r="CL53" s="23">
        <f>EXP(-LN(2)/25)*CL52+(1-EXP(-LN(2)/25))/(LN(2)/25)*Calculateur!CG53*Calculateur!CI53*VLOOKUP('Données projet'!$B$12,Paramètres!$A$1:$I$89,3,0)*0.475*44/12</f>
        <v>0</v>
      </c>
      <c r="CM53" s="23">
        <f>EXP(-LN(2)/2)*CM52+(1-EXP(-LN(2)/2))/(LN(2)/2)*CG53*CJ53*VLOOKUP('Données projet'!$B$12,Paramètres!$A$1:$I$89,3,0)*0.475*44/12</f>
        <v>0</v>
      </c>
      <c r="CN53" s="24">
        <f t="shared" si="12"/>
        <v>0</v>
      </c>
      <c r="CO53" s="77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>
        <f>VLOOKUP(A53,'Données projet'!$A$139:$I$159,2,0)</f>
        <v>231</v>
      </c>
      <c r="CR53" s="13">
        <f>VLOOKUP(A53,'Données projet'!$A$139:$I$159,9,0)</f>
        <v>11</v>
      </c>
      <c r="CS53" s="13">
        <f t="array" ref="CS53">INDEX(CR:CR,MIN(IF(ISNUMBER(CR53:CR249),ROW(CR53:CR249),"")))</f>
        <v>11</v>
      </c>
      <c r="CT53" s="13">
        <f>IF('Données projet'!$A$140&gt;35,CT52+CS53-DB52,IF(A53&lt;'Données projet'!$A$140,$CQ$205^A53,IF(A53='Données projet'!$A$140,'Données projet'!$B$140,CT52+CS53-DB52)))</f>
        <v>231.00000000000006</v>
      </c>
      <c r="CU53" s="18">
        <f>CT53*VLOOKUP('Données projet'!$B$13,Paramètres!$A$1:$I$89,3,0)*VLOOKUP('Données projet'!$B$13,Paramètres!$A$1:$I$89,5,0)</f>
        <v>248.64840000000004</v>
      </c>
      <c r="CV53" s="14">
        <f t="shared" si="41"/>
        <v>60.296424802828774</v>
      </c>
      <c r="CW53" s="22">
        <f t="shared" si="13"/>
        <v>538.07890319826015</v>
      </c>
      <c r="CX53" s="60">
        <f t="shared" si="14"/>
        <v>831.41223653159341</v>
      </c>
      <c r="CY53" s="60">
        <f ca="1">AVERAGE(OFFSET($CX$3,0,0,'Données projet'!$E$13+1,1))-AVERAGE(OFFSET($H$3,0,0,'Données projet'!$E$13+1,1))</f>
        <v>621.10465023992288</v>
      </c>
      <c r="CZ53" s="60">
        <f t="shared" si="42"/>
        <v>322.81767004794284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>
        <f>EXP(-LN(2)/35)*DF52+(1-EXP(-LN(2)/35))/(LN(2)/35)*DB53*DC53*VLOOKUP('Données projet'!$B$13,Paramètres!$A$1:$I$89,3,0)*0.475*44/12</f>
        <v>0</v>
      </c>
      <c r="DG53" s="23">
        <f>EXP(-LN(2)/25)*DG52+(1-EXP(-LN(2)/25))/(LN(2)/25)*Calculateur!DB53*Calculateur!DD53*VLOOKUP('Données projet'!$B$13,Paramètres!$A$1:$I$89,3,0)*0.475*44/12</f>
        <v>0</v>
      </c>
      <c r="DH53" s="23">
        <f>EXP(-LN(2)/2)*DH52+(1-EXP(-LN(2)/2))/(LN(2)/2)*DB53*DE53*VLOOKUP('Données projet'!$B$13,Paramètres!$A$1:$I$89,3,0)*0.475*44/12</f>
        <v>0</v>
      </c>
      <c r="DI53" s="24">
        <f t="shared" si="15"/>
        <v>0</v>
      </c>
      <c r="DJ53" s="77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>
        <f>VLOOKUP(A53,'Données projet'!$A$165:$I$185,2,0)</f>
        <v>231</v>
      </c>
      <c r="DM53" s="13">
        <f>VLOOKUP(A53,'Données projet'!$A$165:$I$185,9,0)</f>
        <v>11</v>
      </c>
      <c r="DN53" s="13">
        <f t="array" ref="DN53">INDEX(DM:DM,MIN(IF(ISNUMBER(DM53:DM249),ROW(DM53:DM249),"")))</f>
        <v>11</v>
      </c>
      <c r="DO53" s="13">
        <f>IF('Données projet'!$A$166&gt;35,DO52+DN53-DW52,IF(A53&lt;'Données projet'!$A$166,$DL$205^A53,IF(A53='Données projet'!$A$166,'Données projet'!$B$166,DO52+DN53-DW52)))</f>
        <v>231.00000000000006</v>
      </c>
      <c r="DP53" s="18">
        <f>DO53*VLOOKUP('Données projet'!$B$14,Paramètres!$A$1:$I$89,3,0)*VLOOKUP('Données projet'!$B$14,Paramètres!$A$1:$I$89,5,0)</f>
        <v>223.42320000000004</v>
      </c>
      <c r="DQ53" s="14">
        <f t="shared" si="43"/>
        <v>54.858231422257631</v>
      </c>
      <c r="DR53" s="22">
        <f t="shared" si="16"/>
        <v>484.67349306043207</v>
      </c>
      <c r="DS53" s="60">
        <f t="shared" si="17"/>
        <v>778.00682639376532</v>
      </c>
      <c r="DT53" s="60">
        <f ca="1">AVERAGE(OFFSET($DS$3,0,0,'Données projet'!$E$14+1,1))-AVERAGE(OFFSET($H$3,0,0,'Données projet'!$E$14+1,1))</f>
        <v>562.69380557620775</v>
      </c>
      <c r="DU53" s="60">
        <f t="shared" si="44"/>
        <v>294.45557293177131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>
        <f>EXP(-LN(2)/35)*EA52+(1-EXP(-LN(2)/35))/(LN(2)/35)*DW53*DX53*VLOOKUP('Données projet'!$B$14,Paramètres!$A$1:$I$89,3,0)*0.475*44/12</f>
        <v>0</v>
      </c>
      <c r="EB53" s="23">
        <f>EXP(-LN(2)/25)*EB52+(1-EXP(-LN(2)/25))/(LN(2)/25)*Calculateur!DW53*Calculateur!DY53*VLOOKUP('Données projet'!$B$14,Paramètres!$A$1:$I$89,3,0)*0.475*44/12</f>
        <v>0</v>
      </c>
      <c r="EC53" s="23">
        <f>EXP(-LN(2)/2)*EC52+(1-EXP(-LN(2)/2))/(LN(2)/2)*DW53*DZ53*VLOOKUP('Données projet'!$B$14,Paramètres!$A$1:$I$89,3,0)*0.475*44/12</f>
        <v>0</v>
      </c>
      <c r="ED53" s="24">
        <f t="shared" si="18"/>
        <v>0</v>
      </c>
      <c r="EE53" s="77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10.375</v>
      </c>
      <c r="EJ53" s="13">
        <f>IF('Données projet'!$A$192&gt;35,EJ52+EI53-ER52,IF(A53&lt;'Données projet'!$A$192,$EG$205^A53,IF(A53='Données projet'!$A$192,'Données projet'!$B$192,EJ52+EI53-ER52)))</f>
        <v>249.24999999999994</v>
      </c>
      <c r="EK53" s="18">
        <f>EJ53*VLOOKUP('Données projet'!$B$15,Paramètres!$A$1:$I$89,3,0)*VLOOKUP('Données projet'!$B$15,Paramètres!$A$1:$I$89,5,0)</f>
        <v>194.41499999999996</v>
      </c>
      <c r="EL53" s="14">
        <f t="shared" si="45"/>
        <v>48.514737888684969</v>
      </c>
      <c r="EM53" s="22">
        <f t="shared" si="19"/>
        <v>423.1026268227929</v>
      </c>
      <c r="EN53" s="60">
        <f t="shared" si="20"/>
        <v>716.43596015612616</v>
      </c>
      <c r="EO53" s="60">
        <f ca="1">AVERAGE(OFFSET($EN$3,0,0,'Données projet'!$E$15+1,1))-AVERAGE(OFFSET($H$3,0,0,'Données projet'!$E$15+1,1))</f>
        <v>292.57482726862594</v>
      </c>
      <c r="EP53" s="60">
        <f t="shared" si="46"/>
        <v>283.48738729114024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>
        <f>EXP(-LN(2)/35)*EV52+(1-EXP(-LN(2)/35))/(LN(2)/35)*ER53*ES53*VLOOKUP('Données projet'!$B$15,Paramètres!$A$1:$I$89,3,0)*0.475*44/12</f>
        <v>0</v>
      </c>
      <c r="EW53" s="23">
        <f>EXP(-LN(2)/25)*EW52+(1-EXP(-LN(2)/25))/(LN(2)/25)*Calculateur!ER53*Calculateur!ET53*VLOOKUP('Données projet'!$B$15,Paramètres!$A$1:$I$89,3,0)*0.475*44/12</f>
        <v>0</v>
      </c>
      <c r="EX53" s="23">
        <f>EXP(-LN(2)/2)*EX52+(1-EXP(-LN(2)/2))/(LN(2)/2)*ER53*EU53*VLOOKUP('Données projet'!$B$15,Paramètres!$A$1:$I$89,3,0)*0.475*44/12</f>
        <v>0</v>
      </c>
      <c r="EY53" s="24">
        <f t="shared" si="21"/>
        <v>0</v>
      </c>
      <c r="EZ53" s="77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0" t="e">
        <f t="shared" si="23"/>
        <v>#N/A</v>
      </c>
      <c r="FJ53" s="60" t="e">
        <f ca="1">AVERAGE(OFFSET($FI$3,0,0,'Données projet'!$E$16+1,1))-AVERAGE(OFFSET($H$3,0,0,'Données projet'!$E$16+1,1))</f>
        <v>#N/A</v>
      </c>
      <c r="FK53" s="60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77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0" t="e">
        <f t="shared" si="26"/>
        <v>#N/A</v>
      </c>
      <c r="GE53" s="60" t="e">
        <f ca="1">AVERAGE(OFFSET($GD$3,0,0,'Données projet'!$E$17+1,1))-AVERAGE(OFFSET($H$3,0,0,'Données projet'!$E$17+1,1))</f>
        <v>#N/A</v>
      </c>
      <c r="GF53" s="60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77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0" t="e">
        <f t="shared" si="29"/>
        <v>#N/A</v>
      </c>
      <c r="GZ53" s="60" t="e">
        <f ca="1">AVERAGE(OFFSET($GY$3,0,0,'Données projet'!$E$18+1,1))-AVERAGE(OFFSET($H$3,0,0,'Données projet'!$E$18+1,1))</f>
        <v>#N/A</v>
      </c>
      <c r="HA53" s="60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25">
      <c r="A54" s="11">
        <f t="shared" si="31"/>
        <v>51</v>
      </c>
      <c r="B54" s="74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2">
        <f t="shared" si="32"/>
        <v>0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0</v>
      </c>
      <c r="H54" s="67">
        <f t="shared" si="1"/>
        <v>256.66666666666669</v>
      </c>
      <c r="I54" s="7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5.6410256410256405</v>
      </c>
      <c r="N54" s="14">
        <f>IF('Données projet'!$A$36&gt;35,N53+M54-V53,IF(A54&lt;'Données projet'!$A$36,$K$205^A54,IF(A54='Données projet'!$A$36,'Données projet'!$B$36,N53+M54-V53)))</f>
        <v>175.51282051282044</v>
      </c>
      <c r="O54" s="14">
        <f>N54*VLOOKUP('Données projet'!$B$9,Paramètres!$A$1:$I$89,3,0)*VLOOKUP('Données projet'!$B$9,Paramètres!$A$1:$I$89,5,0)</f>
        <v>167.01799999999994</v>
      </c>
      <c r="P54" s="14">
        <f t="shared" si="33"/>
        <v>42.421468466086189</v>
      </c>
      <c r="Q54" s="22">
        <f t="shared" si="53"/>
        <v>364.77374091176671</v>
      </c>
      <c r="R54" s="60">
        <f t="shared" si="0"/>
        <v>658.10707424509997</v>
      </c>
      <c r="S54" s="60">
        <f ca="1">AVERAGE(OFFSET($R$3,0,0,'Données projet'!$E$9+1,1))-AVERAGE(OFFSET($H$3,0,0,'Données projet'!$E$9+1,1))</f>
        <v>403.49781966317852</v>
      </c>
      <c r="T54" s="60">
        <f t="shared" si="34"/>
        <v>326.06674572505409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0</v>
      </c>
      <c r="AA54" s="23">
        <f>EXP(-LN(2)/25)*AA53+(1-EXP(-LN(2)/25))/(LN(2)/25)*Calculateur!V54*Calculateur!X54*VLOOKUP('Données projet'!$B$9,Paramètres!$A$1:$I$89,3,0)*0.475*44/12</f>
        <v>0</v>
      </c>
      <c r="AB54" s="23">
        <f>EXP(-LN(2)/2)*AB53+(1-EXP(-LN(2)/2))/(LN(2)/2)*V54*Y54*VLOOKUP('Données projet'!$B$9,Paramètres!$A$1:$I$89,3,0)*0.475*44/12</f>
        <v>0</v>
      </c>
      <c r="AC54" s="24">
        <f t="shared" si="3"/>
        <v>0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4.8</v>
      </c>
      <c r="AI54" s="14">
        <f>IF('Données projet'!$A$62&gt;35,AI53+AH54-AQ53,IF(A54&lt;'Données projet'!$A$62,$AF$205^A54,IF(A54='Données projet'!$A$62,'Données projet'!$B$62,AI53+AH54-AQ53)))</f>
        <v>178.79999999999995</v>
      </c>
      <c r="AJ54" s="14">
        <f>AI54*VLOOKUP('Données projet'!$B$10,Paramètres!$A$1:$I$89,3,0)*VLOOKUP('Données projet'!$B$10,Paramètres!$A$1:$I$89,5,0)</f>
        <v>156.19967999999997</v>
      </c>
      <c r="AK54" s="14">
        <f t="shared" si="35"/>
        <v>39.984147088814133</v>
      </c>
      <c r="AL54" s="22">
        <f t="shared" si="4"/>
        <v>341.68683217968459</v>
      </c>
      <c r="AM54" s="60">
        <f t="shared" si="5"/>
        <v>635.0201655130179</v>
      </c>
      <c r="AN54" s="60">
        <f ca="1">AVERAGE(OFFSET($AM$3,0,0,'Données projet'!$E$10+1,1))-AVERAGE(OFFSET($H$3,0,0,'Données projet'!$E$10+1,1))</f>
        <v>274.66236526869056</v>
      </c>
      <c r="AO54" s="60">
        <f t="shared" si="36"/>
        <v>256.90876395053073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>
        <f>EXP(-LN(2)/35)*AU53+(1-EXP(-LN(2)/35))/(LN(2)/35)*AQ54*AR54*VLOOKUP('Données projet'!$B$10,Paramètres!$A$1:$I$89,3,0)*0.475*44/12</f>
        <v>0</v>
      </c>
      <c r="AV54" s="23">
        <f>EXP(-LN(2)/25)*AV53+(1-EXP(-LN(2)/25))/(LN(2)/25)*Calculateur!AQ54*Calculateur!AS54*VLOOKUP('Données projet'!$B$10,Paramètres!$A$1:$I$89,3,0)*0.475*44/12</f>
        <v>0</v>
      </c>
      <c r="AW54" s="23">
        <f>EXP(-LN(2)/2)*AW53+(1-EXP(-LN(2)/2))/(LN(2)/2)*AQ54*AT54*VLOOKUP('Données projet'!$B$10,Paramètres!$A$1:$I$89,3,0)*0.475*44/12</f>
        <v>0</v>
      </c>
      <c r="AX54" s="23">
        <f t="shared" si="6"/>
        <v>0</v>
      </c>
      <c r="AY54" s="76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10.199999999999999</v>
      </c>
      <c r="BD54" s="13">
        <f>IF('Données projet'!$A$88&gt;35,BD53+BC54-BL53,IF(A54&lt;'Données projet'!$A$88,$BA$205^A54,IF(A54='Données projet'!$A$88,'Données projet'!$B$88,BD53+BC54-BL53)))</f>
        <v>241.20000000000005</v>
      </c>
      <c r="BE54" s="14">
        <f>BD54*VLOOKUP('Données projet'!$B$11,Paramètres!$A$1:$I$89,3,0)*VLOOKUP('Données projet'!$B$11,Paramètres!$A$1:$I$89,5,0)</f>
        <v>218.23776000000004</v>
      </c>
      <c r="BF54" s="14">
        <f t="shared" si="37"/>
        <v>53.731692470599071</v>
      </c>
      <c r="BG54" s="22">
        <f t="shared" si="7"/>
        <v>473.68012971962668</v>
      </c>
      <c r="BH54" s="60">
        <f t="shared" si="8"/>
        <v>767.01346305295999</v>
      </c>
      <c r="BI54" s="60">
        <f ca="1">AVERAGE(OFFSET($BH$3,0,0,'Données projet'!$E$11+1,1))-AVERAGE(OFFSET($H$3,0,0,'Données projet'!$E$11+1,1))</f>
        <v>529.25712986118265</v>
      </c>
      <c r="BJ54" s="60">
        <f t="shared" si="38"/>
        <v>278.21741231699929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>
        <f>EXP(-LN(2)/35)*BP53+(1-EXP(-LN(2)/35))/(LN(2)/35)*BL54*BM54*VLOOKUP('Données projet'!$B$11,Paramètres!$A$1:$I$89,3,0)*0.475*44/12</f>
        <v>0</v>
      </c>
      <c r="BQ54" s="23">
        <f>EXP(-LN(2)/25)*BQ53+(1-EXP(-LN(2)/25))/(LN(2)/25)*Calculateur!BL54*Calculateur!BN54*VLOOKUP('Données projet'!$B$11,Paramètres!$A$1:$I$89,3,0)*0.475*44/12</f>
        <v>0</v>
      </c>
      <c r="BR54" s="23">
        <f>EXP(-LN(2)/2)*BR53+(1-EXP(-LN(2)/2))/(LN(2)/2)*BL54*BO54*VLOOKUP('Données projet'!$B$11,Paramètres!$A$1:$I$89,3,0)*0.475*44/12</f>
        <v>0</v>
      </c>
      <c r="BS54" s="24">
        <f t="shared" si="9"/>
        <v>0</v>
      </c>
      <c r="BT54" s="77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10.199999999999999</v>
      </c>
      <c r="BY54" s="13">
        <f>IF('Données projet'!$A$114&gt;35,BY53+BX54-CG53,IF(A54&lt;'Données projet'!$A$114,$BV$205^A54,IF(A54='Données projet'!$A$114,'Données projet'!$B$114,BY53+BX54-CG53)))</f>
        <v>241.20000000000005</v>
      </c>
      <c r="BZ54" s="14">
        <f>BY54*VLOOKUP('Données projet'!$B$12,Paramètres!$A$1:$I$89,3,0)*VLOOKUP('Données projet'!$B$12,Paramètres!$A$1:$I$89,5,0)</f>
        <v>244.57680000000005</v>
      </c>
      <c r="CA54" s="14">
        <f t="shared" si="39"/>
        <v>59.423166060201147</v>
      </c>
      <c r="CB54" s="22">
        <f t="shared" si="10"/>
        <v>529.46660755485038</v>
      </c>
      <c r="CC54" s="60">
        <f t="shared" si="11"/>
        <v>822.79994088818376</v>
      </c>
      <c r="CD54" s="60">
        <f ca="1">AVERAGE(OFFSET($CC$3,0,0,'Données projet'!$E$12+1,1))-AVERAGE(OFFSET($H$3,0,0,'Données projet'!$E$12+1,1))</f>
        <v>587.74247372331615</v>
      </c>
      <c r="CE54" s="60">
        <f t="shared" si="40"/>
        <v>306.61893266146666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>
        <f>EXP(-LN(2)/35)*CK53+(1-EXP(-LN(2)/35))/(LN(2)/35)*CG54*CH54*VLOOKUP('Données projet'!$B$12,Paramètres!$A$1:$I$89,3,0)*0.475*44/12</f>
        <v>0</v>
      </c>
      <c r="CL54" s="23">
        <f>EXP(-LN(2)/25)*CL53+(1-EXP(-LN(2)/25))/(LN(2)/25)*Calculateur!CG54*Calculateur!CI54*VLOOKUP('Données projet'!$B$12,Paramètres!$A$1:$I$89,3,0)*0.475*44/12</f>
        <v>0</v>
      </c>
      <c r="CM54" s="23">
        <f>EXP(-LN(2)/2)*CM53+(1-EXP(-LN(2)/2))/(LN(2)/2)*CG54*CJ54*VLOOKUP('Données projet'!$B$12,Paramètres!$A$1:$I$89,3,0)*0.475*44/12</f>
        <v>0</v>
      </c>
      <c r="CN54" s="24">
        <f t="shared" si="12"/>
        <v>0</v>
      </c>
      <c r="CO54" s="77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10.199999999999999</v>
      </c>
      <c r="CT54" s="13">
        <f>IF('Données projet'!$A$140&gt;35,CT53+CS54-DB53,IF(A54&lt;'Données projet'!$A$140,$CQ$205^A54,IF(A54='Données projet'!$A$140,'Données projet'!$B$140,CT53+CS54-DB53)))</f>
        <v>241.20000000000005</v>
      </c>
      <c r="CU54" s="18">
        <f>CT54*VLOOKUP('Données projet'!$B$13,Paramètres!$A$1:$I$89,3,0)*VLOOKUP('Données projet'!$B$13,Paramètres!$A$1:$I$89,5,0)</f>
        <v>259.62768000000005</v>
      </c>
      <c r="CV54" s="14">
        <f t="shared" si="41"/>
        <v>62.643007760076152</v>
      </c>
      <c r="CW54" s="22">
        <f t="shared" si="13"/>
        <v>561.28811451546608</v>
      </c>
      <c r="CX54" s="60">
        <f t="shared" si="14"/>
        <v>854.62144784879933</v>
      </c>
      <c r="CY54" s="60">
        <f ca="1">AVERAGE(OFFSET($CX$3,0,0,'Données projet'!$E$13+1,1))-AVERAGE(OFFSET($H$3,0,0,'Données projet'!$E$13+1,1))</f>
        <v>621.10465023992288</v>
      </c>
      <c r="CZ54" s="60">
        <f t="shared" si="42"/>
        <v>322.81767004794284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>
        <f>EXP(-LN(2)/35)*DF53+(1-EXP(-LN(2)/35))/(LN(2)/35)*DB54*DC54*VLOOKUP('Données projet'!$B$13,Paramètres!$A$1:$I$89,3,0)*0.475*44/12</f>
        <v>0</v>
      </c>
      <c r="DG54" s="23">
        <f>EXP(-LN(2)/25)*DG53+(1-EXP(-LN(2)/25))/(LN(2)/25)*Calculateur!DB54*Calculateur!DD54*VLOOKUP('Données projet'!$B$13,Paramètres!$A$1:$I$89,3,0)*0.475*44/12</f>
        <v>0</v>
      </c>
      <c r="DH54" s="23">
        <f>EXP(-LN(2)/2)*DH53+(1-EXP(-LN(2)/2))/(LN(2)/2)*DB54*DE54*VLOOKUP('Données projet'!$B$13,Paramètres!$A$1:$I$89,3,0)*0.475*44/12</f>
        <v>0</v>
      </c>
      <c r="DI54" s="24">
        <f t="shared" si="15"/>
        <v>0</v>
      </c>
      <c r="DJ54" s="77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10.199999999999999</v>
      </c>
      <c r="DO54" s="13">
        <f>IF('Données projet'!$A$166&gt;35,DO53+DN54-DW53,IF(A54&lt;'Données projet'!$A$166,$DL$205^A54,IF(A54='Données projet'!$A$166,'Données projet'!$B$166,DO53+DN54-DW53)))</f>
        <v>241.20000000000005</v>
      </c>
      <c r="DP54" s="18">
        <f>DO54*VLOOKUP('Données projet'!$B$14,Paramètres!$A$1:$I$89,3,0)*VLOOKUP('Données projet'!$B$14,Paramètres!$A$1:$I$89,5,0)</f>
        <v>233.28864000000007</v>
      </c>
      <c r="DQ54" s="14">
        <f t="shared" si="43"/>
        <v>56.993173773170618</v>
      </c>
      <c r="DR54" s="22">
        <f t="shared" si="16"/>
        <v>505.5741589882723</v>
      </c>
      <c r="DS54" s="60">
        <f t="shared" si="17"/>
        <v>798.90749232160556</v>
      </c>
      <c r="DT54" s="60">
        <f ca="1">AVERAGE(OFFSET($DS$3,0,0,'Données projet'!$E$14+1,1))-AVERAGE(OFFSET($H$3,0,0,'Données projet'!$E$14+1,1))</f>
        <v>562.69380557620775</v>
      </c>
      <c r="DU54" s="60">
        <f t="shared" si="44"/>
        <v>294.45557293177131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>
        <f>EXP(-LN(2)/35)*EA53+(1-EXP(-LN(2)/35))/(LN(2)/35)*DW54*DX54*VLOOKUP('Données projet'!$B$14,Paramètres!$A$1:$I$89,3,0)*0.475*44/12</f>
        <v>0</v>
      </c>
      <c r="EB54" s="23">
        <f>EXP(-LN(2)/25)*EB53+(1-EXP(-LN(2)/25))/(LN(2)/25)*Calculateur!DW54*Calculateur!DY54*VLOOKUP('Données projet'!$B$14,Paramètres!$A$1:$I$89,3,0)*0.475*44/12</f>
        <v>0</v>
      </c>
      <c r="EC54" s="23">
        <f>EXP(-LN(2)/2)*EC53+(1-EXP(-LN(2)/2))/(LN(2)/2)*DW54*DZ54*VLOOKUP('Données projet'!$B$14,Paramètres!$A$1:$I$89,3,0)*0.475*44/12</f>
        <v>0</v>
      </c>
      <c r="ED54" s="24">
        <f t="shared" si="18"/>
        <v>0</v>
      </c>
      <c r="EE54" s="77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10.375</v>
      </c>
      <c r="EJ54" s="13">
        <f>IF('Données projet'!$A$192&gt;35,EJ53+EI54-ER53,IF(A54&lt;'Données projet'!$A$192,$EG$205^A54,IF(A54='Données projet'!$A$192,'Données projet'!$B$192,EJ53+EI54-ER53)))</f>
        <v>259.62499999999994</v>
      </c>
      <c r="EK54" s="18">
        <f>EJ54*VLOOKUP('Données projet'!$B$15,Paramètres!$A$1:$I$89,3,0)*VLOOKUP('Données projet'!$B$15,Paramètres!$A$1:$I$89,5,0)</f>
        <v>202.50749999999996</v>
      </c>
      <c r="EL54" s="14">
        <f t="shared" si="45"/>
        <v>50.294840086606349</v>
      </c>
      <c r="EM54" s="22">
        <f t="shared" si="19"/>
        <v>440.29740898417259</v>
      </c>
      <c r="EN54" s="60">
        <f t="shared" si="20"/>
        <v>733.63074231750591</v>
      </c>
      <c r="EO54" s="60">
        <f ca="1">AVERAGE(OFFSET($EN$3,0,0,'Données projet'!$E$15+1,1))-AVERAGE(OFFSET($H$3,0,0,'Données projet'!$E$15+1,1))</f>
        <v>292.57482726862594</v>
      </c>
      <c r="EP54" s="60">
        <f t="shared" si="46"/>
        <v>283.48738729114024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>
        <f>EXP(-LN(2)/35)*EV53+(1-EXP(-LN(2)/35))/(LN(2)/35)*ER54*ES54*VLOOKUP('Données projet'!$B$15,Paramètres!$A$1:$I$89,3,0)*0.475*44/12</f>
        <v>0</v>
      </c>
      <c r="EW54" s="23">
        <f>EXP(-LN(2)/25)*EW53+(1-EXP(-LN(2)/25))/(LN(2)/25)*Calculateur!ER54*Calculateur!ET54*VLOOKUP('Données projet'!$B$15,Paramètres!$A$1:$I$89,3,0)*0.475*44/12</f>
        <v>0</v>
      </c>
      <c r="EX54" s="23">
        <f>EXP(-LN(2)/2)*EX53+(1-EXP(-LN(2)/2))/(LN(2)/2)*ER54*EU54*VLOOKUP('Données projet'!$B$15,Paramètres!$A$1:$I$89,3,0)*0.475*44/12</f>
        <v>0</v>
      </c>
      <c r="EY54" s="24">
        <f t="shared" si="21"/>
        <v>0</v>
      </c>
      <c r="EZ54" s="77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0" t="e">
        <f t="shared" si="23"/>
        <v>#N/A</v>
      </c>
      <c r="FJ54" s="60" t="e">
        <f ca="1">AVERAGE(OFFSET($FI$3,0,0,'Données projet'!$E$16+1,1))-AVERAGE(OFFSET($H$3,0,0,'Données projet'!$E$16+1,1))</f>
        <v>#N/A</v>
      </c>
      <c r="FK54" s="60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77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0" t="e">
        <f t="shared" si="26"/>
        <v>#N/A</v>
      </c>
      <c r="GE54" s="60" t="e">
        <f ca="1">AVERAGE(OFFSET($GD$3,0,0,'Données projet'!$E$17+1,1))-AVERAGE(OFFSET($H$3,0,0,'Données projet'!$E$17+1,1))</f>
        <v>#N/A</v>
      </c>
      <c r="GF54" s="60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77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0" t="e">
        <f t="shared" si="29"/>
        <v>#N/A</v>
      </c>
      <c r="GZ54" s="60" t="e">
        <f ca="1">AVERAGE(OFFSET($GY$3,0,0,'Données projet'!$E$18+1,1))-AVERAGE(OFFSET($H$3,0,0,'Données projet'!$E$18+1,1))</f>
        <v>#N/A</v>
      </c>
      <c r="HA54" s="60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25">
      <c r="A55" s="11">
        <f t="shared" si="31"/>
        <v>52</v>
      </c>
      <c r="B55" s="74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2">
        <f t="shared" si="32"/>
        <v>0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0</v>
      </c>
      <c r="H55" s="67">
        <f t="shared" si="1"/>
        <v>256.66666666666669</v>
      </c>
      <c r="I55" s="7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5.6410256410256405</v>
      </c>
      <c r="N55" s="14">
        <f>IF('Données projet'!$A$36&gt;35,N54+M55-V54,IF(A55&lt;'Données projet'!$A$36,$K$205^A55,IF(A55='Données projet'!$A$36,'Données projet'!$B$36,N54+M55-V54)))</f>
        <v>181.15384615384608</v>
      </c>
      <c r="O55" s="14">
        <f>N55*VLOOKUP('Données projet'!$B$9,Paramètres!$A$1:$I$89,3,0)*VLOOKUP('Données projet'!$B$9,Paramètres!$A$1:$I$89,5,0)</f>
        <v>172.38599999999991</v>
      </c>
      <c r="P55" s="14">
        <f t="shared" si="33"/>
        <v>43.623973962324399</v>
      </c>
      <c r="Q55" s="22">
        <f t="shared" si="53"/>
        <v>376.21737131771482</v>
      </c>
      <c r="R55" s="60">
        <f t="shared" si="0"/>
        <v>669.55070465104814</v>
      </c>
      <c r="S55" s="60">
        <f ca="1">AVERAGE(OFFSET($R$3,0,0,'Données projet'!$E$9+1,1))-AVERAGE(OFFSET($H$3,0,0,'Données projet'!$E$9+1,1))</f>
        <v>403.49781966317852</v>
      </c>
      <c r="T55" s="60">
        <f t="shared" si="34"/>
        <v>326.06674572505409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0</v>
      </c>
      <c r="AA55" s="23">
        <f>EXP(-LN(2)/25)*AA54+(1-EXP(-LN(2)/25))/(LN(2)/25)*Calculateur!V55*Calculateur!X55*VLOOKUP('Données projet'!$B$9,Paramètres!$A$1:$I$89,3,0)*0.475*44/12</f>
        <v>0</v>
      </c>
      <c r="AB55" s="23">
        <f>EXP(-LN(2)/2)*AB54+(1-EXP(-LN(2)/2))/(LN(2)/2)*V55*Y55*VLOOKUP('Données projet'!$B$9,Paramètres!$A$1:$I$89,3,0)*0.475*44/12</f>
        <v>0</v>
      </c>
      <c r="AC55" s="24">
        <f t="shared" si="3"/>
        <v>0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4.8</v>
      </c>
      <c r="AI55" s="14">
        <f>IF('Données projet'!$A$62&gt;35,AI54+AH55-AQ54,IF(A55&lt;'Données projet'!$A$62,$AF$205^A55,IF(A55='Données projet'!$A$62,'Données projet'!$B$62,AI54+AH55-AQ54)))</f>
        <v>183.59999999999997</v>
      </c>
      <c r="AJ55" s="14">
        <f>AI55*VLOOKUP('Données projet'!$B$10,Paramètres!$A$1:$I$89,3,0)*VLOOKUP('Données projet'!$B$10,Paramètres!$A$1:$I$89,5,0)</f>
        <v>160.39295999999999</v>
      </c>
      <c r="AK55" s="14">
        <f t="shared" si="35"/>
        <v>40.931135973980041</v>
      </c>
      <c r="AL55" s="22">
        <f t="shared" si="4"/>
        <v>350.63946715468188</v>
      </c>
      <c r="AM55" s="60">
        <f t="shared" si="5"/>
        <v>643.9728004880152</v>
      </c>
      <c r="AN55" s="60">
        <f ca="1">AVERAGE(OFFSET($AM$3,0,0,'Données projet'!$E$10+1,1))-AVERAGE(OFFSET($H$3,0,0,'Données projet'!$E$10+1,1))</f>
        <v>274.66236526869056</v>
      </c>
      <c r="AO55" s="60">
        <f t="shared" si="36"/>
        <v>256.90876395053073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>
        <f>EXP(-LN(2)/35)*AU54+(1-EXP(-LN(2)/35))/(LN(2)/35)*AQ55*AR55*VLOOKUP('Données projet'!$B$10,Paramètres!$A$1:$I$89,3,0)*0.475*44/12</f>
        <v>0</v>
      </c>
      <c r="AV55" s="23">
        <f>EXP(-LN(2)/25)*AV54+(1-EXP(-LN(2)/25))/(LN(2)/25)*Calculateur!AQ55*Calculateur!AS55*VLOOKUP('Données projet'!$B$10,Paramètres!$A$1:$I$89,3,0)*0.475*44/12</f>
        <v>0</v>
      </c>
      <c r="AW55" s="23">
        <f>EXP(-LN(2)/2)*AW54+(1-EXP(-LN(2)/2))/(LN(2)/2)*AQ55*AT55*VLOOKUP('Données projet'!$B$10,Paramètres!$A$1:$I$89,3,0)*0.475*44/12</f>
        <v>0</v>
      </c>
      <c r="AX55" s="23">
        <f t="shared" si="6"/>
        <v>0</v>
      </c>
      <c r="AY55" s="76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10.199999999999999</v>
      </c>
      <c r="BD55" s="13">
        <f>IF('Données projet'!$A$88&gt;35,BD54+BC55-BL54,IF(A55&lt;'Données projet'!$A$88,$BA$205^A55,IF(A55='Données projet'!$A$88,'Données projet'!$B$88,BD54+BC55-BL54)))</f>
        <v>251.40000000000003</v>
      </c>
      <c r="BE55" s="14">
        <f>BD55*VLOOKUP('Données projet'!$B$11,Paramètres!$A$1:$I$89,3,0)*VLOOKUP('Données projet'!$B$11,Paramètres!$A$1:$I$89,5,0)</f>
        <v>227.46672000000004</v>
      </c>
      <c r="BF55" s="14">
        <f t="shared" si="37"/>
        <v>55.734574592438989</v>
      </c>
      <c r="BG55" s="22">
        <f t="shared" si="7"/>
        <v>493.24225474849794</v>
      </c>
      <c r="BH55" s="60">
        <f t="shared" si="8"/>
        <v>786.57558808183126</v>
      </c>
      <c r="BI55" s="60">
        <f ca="1">AVERAGE(OFFSET($BH$3,0,0,'Données projet'!$E$11+1,1))-AVERAGE(OFFSET($H$3,0,0,'Données projet'!$E$11+1,1))</f>
        <v>529.25712986118265</v>
      </c>
      <c r="BJ55" s="60">
        <f t="shared" si="38"/>
        <v>278.21741231699929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>
        <f>EXP(-LN(2)/35)*BP54+(1-EXP(-LN(2)/35))/(LN(2)/35)*BL55*BM55*VLOOKUP('Données projet'!$B$11,Paramètres!$A$1:$I$89,3,0)*0.475*44/12</f>
        <v>0</v>
      </c>
      <c r="BQ55" s="23">
        <f>EXP(-LN(2)/25)*BQ54+(1-EXP(-LN(2)/25))/(LN(2)/25)*Calculateur!BL55*Calculateur!BN55*VLOOKUP('Données projet'!$B$11,Paramètres!$A$1:$I$89,3,0)*0.475*44/12</f>
        <v>0</v>
      </c>
      <c r="BR55" s="23">
        <f>EXP(-LN(2)/2)*BR54+(1-EXP(-LN(2)/2))/(LN(2)/2)*BL55*BO55*VLOOKUP('Données projet'!$B$11,Paramètres!$A$1:$I$89,3,0)*0.475*44/12</f>
        <v>0</v>
      </c>
      <c r="BS55" s="24">
        <f t="shared" si="9"/>
        <v>0</v>
      </c>
      <c r="BT55" s="77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10.199999999999999</v>
      </c>
      <c r="BY55" s="13">
        <f>IF('Données projet'!$A$114&gt;35,BY54+BX55-CG54,IF(A55&lt;'Données projet'!$A$114,$BV$205^A55,IF(A55='Données projet'!$A$114,'Données projet'!$B$114,BY54+BX55-CG54)))</f>
        <v>251.40000000000003</v>
      </c>
      <c r="BZ55" s="14">
        <f>BY55*VLOOKUP('Données projet'!$B$12,Paramètres!$A$1:$I$89,3,0)*VLOOKUP('Données projet'!$B$12,Paramètres!$A$1:$I$89,5,0)</f>
        <v>254.91960000000006</v>
      </c>
      <c r="CA55" s="14">
        <f t="shared" si="39"/>
        <v>61.638201385772277</v>
      </c>
      <c r="CB55" s="22">
        <f t="shared" si="10"/>
        <v>551.33817074688682</v>
      </c>
      <c r="CC55" s="60">
        <f t="shared" si="11"/>
        <v>844.67150408022007</v>
      </c>
      <c r="CD55" s="60">
        <f ca="1">AVERAGE(OFFSET($CC$3,0,0,'Données projet'!$E$12+1,1))-AVERAGE(OFFSET($H$3,0,0,'Données projet'!$E$12+1,1))</f>
        <v>587.74247372331615</v>
      </c>
      <c r="CE55" s="60">
        <f t="shared" si="40"/>
        <v>306.61893266146666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>
        <f>EXP(-LN(2)/35)*CK54+(1-EXP(-LN(2)/35))/(LN(2)/35)*CG55*CH55*VLOOKUP('Données projet'!$B$12,Paramètres!$A$1:$I$89,3,0)*0.475*44/12</f>
        <v>0</v>
      </c>
      <c r="CL55" s="23">
        <f>EXP(-LN(2)/25)*CL54+(1-EXP(-LN(2)/25))/(LN(2)/25)*Calculateur!CG55*Calculateur!CI55*VLOOKUP('Données projet'!$B$12,Paramètres!$A$1:$I$89,3,0)*0.475*44/12</f>
        <v>0</v>
      </c>
      <c r="CM55" s="23">
        <f>EXP(-LN(2)/2)*CM54+(1-EXP(-LN(2)/2))/(LN(2)/2)*CG55*CJ55*VLOOKUP('Données projet'!$B$12,Paramètres!$A$1:$I$89,3,0)*0.475*44/12</f>
        <v>0</v>
      </c>
      <c r="CN55" s="24">
        <f t="shared" si="12"/>
        <v>0</v>
      </c>
      <c r="CO55" s="77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10.199999999999999</v>
      </c>
      <c r="CT55" s="13">
        <f>IF('Données projet'!$A$140&gt;35,CT54+CS55-DB54,IF(A55&lt;'Données projet'!$A$140,$CQ$205^A55,IF(A55='Données projet'!$A$140,'Données projet'!$B$140,CT54+CS55-DB54)))</f>
        <v>251.40000000000003</v>
      </c>
      <c r="CU55" s="18">
        <f>CT55*VLOOKUP('Données projet'!$B$13,Paramètres!$A$1:$I$89,3,0)*VLOOKUP('Données projet'!$B$13,Paramètres!$A$1:$I$89,5,0)</f>
        <v>270.60696000000002</v>
      </c>
      <c r="CV55" s="14">
        <f t="shared" si="41"/>
        <v>64.978064679595022</v>
      </c>
      <c r="CW55" s="22">
        <f t="shared" si="13"/>
        <v>584.47725131696131</v>
      </c>
      <c r="CX55" s="60">
        <f t="shared" si="14"/>
        <v>877.81058465029469</v>
      </c>
      <c r="CY55" s="60">
        <f ca="1">AVERAGE(OFFSET($CX$3,0,0,'Données projet'!$E$13+1,1))-AVERAGE(OFFSET($H$3,0,0,'Données projet'!$E$13+1,1))</f>
        <v>621.10465023992288</v>
      </c>
      <c r="CZ55" s="60">
        <f t="shared" si="42"/>
        <v>322.81767004794284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>
        <f>EXP(-LN(2)/35)*DF54+(1-EXP(-LN(2)/35))/(LN(2)/35)*DB55*DC55*VLOOKUP('Données projet'!$B$13,Paramètres!$A$1:$I$89,3,0)*0.475*44/12</f>
        <v>0</v>
      </c>
      <c r="DG55" s="23">
        <f>EXP(-LN(2)/25)*DG54+(1-EXP(-LN(2)/25))/(LN(2)/25)*Calculateur!DB55*Calculateur!DD55*VLOOKUP('Données projet'!$B$13,Paramètres!$A$1:$I$89,3,0)*0.475*44/12</f>
        <v>0</v>
      </c>
      <c r="DH55" s="23">
        <f>EXP(-LN(2)/2)*DH54+(1-EXP(-LN(2)/2))/(LN(2)/2)*DB55*DE55*VLOOKUP('Données projet'!$B$13,Paramètres!$A$1:$I$89,3,0)*0.475*44/12</f>
        <v>0</v>
      </c>
      <c r="DI55" s="24">
        <f t="shared" si="15"/>
        <v>0</v>
      </c>
      <c r="DJ55" s="77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10.199999999999999</v>
      </c>
      <c r="DO55" s="13">
        <f>IF('Données projet'!$A$166&gt;35,DO54+DN55-DW54,IF(A55&lt;'Données projet'!$A$166,$DL$205^A55,IF(A55='Données projet'!$A$166,'Données projet'!$B$166,DO54+DN55-DW54)))</f>
        <v>251.40000000000003</v>
      </c>
      <c r="DP55" s="18">
        <f>DO55*VLOOKUP('Données projet'!$B$14,Paramètres!$A$1:$I$89,3,0)*VLOOKUP('Données projet'!$B$14,Paramètres!$A$1:$I$89,5,0)</f>
        <v>243.15408000000005</v>
      </c>
      <c r="DQ55" s="14">
        <f t="shared" si="43"/>
        <v>59.117629630943199</v>
      </c>
      <c r="DR55" s="22">
        <f t="shared" si="16"/>
        <v>526.45656094055948</v>
      </c>
      <c r="DS55" s="60">
        <f t="shared" si="17"/>
        <v>819.78989427389274</v>
      </c>
      <c r="DT55" s="60">
        <f ca="1">AVERAGE(OFFSET($DS$3,0,0,'Données projet'!$E$14+1,1))-AVERAGE(OFFSET($H$3,0,0,'Données projet'!$E$14+1,1))</f>
        <v>562.69380557620775</v>
      </c>
      <c r="DU55" s="60">
        <f t="shared" si="44"/>
        <v>294.45557293177131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>
        <f>EXP(-LN(2)/35)*EA54+(1-EXP(-LN(2)/35))/(LN(2)/35)*DW55*DX55*VLOOKUP('Données projet'!$B$14,Paramètres!$A$1:$I$89,3,0)*0.475*44/12</f>
        <v>0</v>
      </c>
      <c r="EB55" s="23">
        <f>EXP(-LN(2)/25)*EB54+(1-EXP(-LN(2)/25))/(LN(2)/25)*Calculateur!DW55*Calculateur!DY55*VLOOKUP('Données projet'!$B$14,Paramètres!$A$1:$I$89,3,0)*0.475*44/12</f>
        <v>0</v>
      </c>
      <c r="EC55" s="23">
        <f>EXP(-LN(2)/2)*EC54+(1-EXP(-LN(2)/2))/(LN(2)/2)*DW55*DZ55*VLOOKUP('Données projet'!$B$14,Paramètres!$A$1:$I$89,3,0)*0.475*44/12</f>
        <v>0</v>
      </c>
      <c r="ED55" s="24">
        <f t="shared" si="18"/>
        <v>0</v>
      </c>
      <c r="EE55" s="77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>
        <f>VLOOKUP(A55,'Données projet'!$A$191:$I$211,2,0)</f>
        <v>270</v>
      </c>
      <c r="EH55" s="13">
        <f>VLOOKUP(A55,'Données projet'!$A$191:$I$211,9,0)</f>
        <v>10.375</v>
      </c>
      <c r="EI55" s="13">
        <f t="array" ref="EI55">INDEX(EH:EH,MIN(IF(ISNUMBER(EH55:EH251),ROW(EH55:EH251),"")))</f>
        <v>10.375</v>
      </c>
      <c r="EJ55" s="13">
        <f>IF('Données projet'!$A$192&gt;35,EJ54+EI55-ER54,IF(A55&lt;'Données projet'!$A$192,$EG$205^A55,IF(A55='Données projet'!$A$192,'Données projet'!$B$192,EJ54+EI55-ER54)))</f>
        <v>269.99999999999994</v>
      </c>
      <c r="EK55" s="18">
        <f>EJ55*VLOOKUP('Données projet'!$B$15,Paramètres!$A$1:$I$89,3,0)*VLOOKUP('Données projet'!$B$15,Paramètres!$A$1:$I$89,5,0)</f>
        <v>210.59999999999997</v>
      </c>
      <c r="EL55" s="14">
        <f t="shared" si="45"/>
        <v>52.066679014659961</v>
      </c>
      <c r="EM55" s="22">
        <f t="shared" si="19"/>
        <v>457.47779928386598</v>
      </c>
      <c r="EN55" s="60">
        <f t="shared" si="20"/>
        <v>750.81113261719929</v>
      </c>
      <c r="EO55" s="60">
        <f ca="1">AVERAGE(OFFSET($EN$3,0,0,'Données projet'!$E$15+1,1))-AVERAGE(OFFSET($H$3,0,0,'Données projet'!$E$15+1,1))</f>
        <v>292.57482726862594</v>
      </c>
      <c r="EP55" s="60">
        <f t="shared" si="46"/>
        <v>283.48738729114024</v>
      </c>
      <c r="EQ55" s="16">
        <f>IF(ISNA(VLOOKUP(A55,'Données projet'!$A$191:$I$211,3,0)),0,VLOOKUP(A55,'Données projet'!$A$191:$I$211,3,0))</f>
        <v>5</v>
      </c>
      <c r="ER55" s="16">
        <f>IF(ISNA(VLOOKUP(A55,'Données projet'!$A$191:$I$211,4,0)),0,VLOOKUP(A55,'Données projet'!$A$191:$I$211,4,0))</f>
        <v>48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>
        <f>EXP(-LN(2)/35)*EV54+(1-EXP(-LN(2)/35))/(LN(2)/35)*ER55*ES55*VLOOKUP('Données projet'!$B$15,Paramètres!$A$1:$I$89,3,0)*0.475*44/12</f>
        <v>0</v>
      </c>
      <c r="EW55" s="23">
        <f>EXP(-LN(2)/25)*EW54+(1-EXP(-LN(2)/25))/(LN(2)/25)*Calculateur!ER55*Calculateur!ET55*VLOOKUP('Données projet'!$B$15,Paramètres!$A$1:$I$89,3,0)*0.475*44/12</f>
        <v>0</v>
      </c>
      <c r="EX55" s="23">
        <f>EXP(-LN(2)/2)*EX54+(1-EXP(-LN(2)/2))/(LN(2)/2)*ER55*EU55*VLOOKUP('Données projet'!$B$15,Paramètres!$A$1:$I$89,3,0)*0.475*44/12</f>
        <v>0</v>
      </c>
      <c r="EY55" s="24">
        <f t="shared" si="21"/>
        <v>0</v>
      </c>
      <c r="EZ55" s="77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0" t="e">
        <f t="shared" si="23"/>
        <v>#N/A</v>
      </c>
      <c r="FJ55" s="60" t="e">
        <f ca="1">AVERAGE(OFFSET($FI$3,0,0,'Données projet'!$E$16+1,1))-AVERAGE(OFFSET($H$3,0,0,'Données projet'!$E$16+1,1))</f>
        <v>#N/A</v>
      </c>
      <c r="FK55" s="60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77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0" t="e">
        <f t="shared" si="26"/>
        <v>#N/A</v>
      </c>
      <c r="GE55" s="60" t="e">
        <f ca="1">AVERAGE(OFFSET($GD$3,0,0,'Données projet'!$E$17+1,1))-AVERAGE(OFFSET($H$3,0,0,'Données projet'!$E$17+1,1))</f>
        <v>#N/A</v>
      </c>
      <c r="GF55" s="60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77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0" t="e">
        <f t="shared" si="29"/>
        <v>#N/A</v>
      </c>
      <c r="GZ55" s="60" t="e">
        <f ca="1">AVERAGE(OFFSET($GY$3,0,0,'Données projet'!$E$18+1,1))-AVERAGE(OFFSET($H$3,0,0,'Données projet'!$E$18+1,1))</f>
        <v>#N/A</v>
      </c>
      <c r="HA55" s="60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25">
      <c r="A56" s="11">
        <f t="shared" si="31"/>
        <v>53</v>
      </c>
      <c r="B56" s="74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2">
        <f t="shared" si="32"/>
        <v>0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0</v>
      </c>
      <c r="H56" s="67">
        <f t="shared" si="1"/>
        <v>256.66666666666669</v>
      </c>
      <c r="I56" s="7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5.6410256410256405</v>
      </c>
      <c r="N56" s="14">
        <f>IF('Données projet'!$A$36&gt;35,N55+M56-V55,IF(A56&lt;'Données projet'!$A$36,$K$205^A56,IF(A56='Données projet'!$A$36,'Données projet'!$B$36,N55+M56-V55)))</f>
        <v>186.79487179487171</v>
      </c>
      <c r="O56" s="14">
        <f>N56*VLOOKUP('Données projet'!$B$9,Paramètres!$A$1:$I$89,3,0)*VLOOKUP('Données projet'!$B$9,Paramètres!$A$1:$I$89,5,0)</f>
        <v>177.75399999999993</v>
      </c>
      <c r="P56" s="14">
        <f t="shared" si="33"/>
        <v>44.822127969609177</v>
      </c>
      <c r="Q56" s="22">
        <f t="shared" si="53"/>
        <v>387.6534228804025</v>
      </c>
      <c r="R56" s="60">
        <f t="shared" si="0"/>
        <v>680.98675621373582</v>
      </c>
      <c r="S56" s="60">
        <f ca="1">AVERAGE(OFFSET($R$3,0,0,'Données projet'!$E$9+1,1))-AVERAGE(OFFSET($H$3,0,0,'Données projet'!$E$9+1,1))</f>
        <v>403.49781966317852</v>
      </c>
      <c r="T56" s="60">
        <f t="shared" si="34"/>
        <v>326.06674572505409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0</v>
      </c>
      <c r="AA56" s="23">
        <f>EXP(-LN(2)/25)*AA55+(1-EXP(-LN(2)/25))/(LN(2)/25)*Calculateur!V56*Calculateur!X56*VLOOKUP('Données projet'!$B$9,Paramètres!$A$1:$I$89,3,0)*0.475*44/12</f>
        <v>0</v>
      </c>
      <c r="AB56" s="23">
        <f>EXP(-LN(2)/2)*AB55+(1-EXP(-LN(2)/2))/(LN(2)/2)*V56*Y56*VLOOKUP('Données projet'!$B$9,Paramètres!$A$1:$I$89,3,0)*0.475*44/12</f>
        <v>0</v>
      </c>
      <c r="AC56" s="24">
        <f t="shared" si="3"/>
        <v>0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4.8</v>
      </c>
      <c r="AI56" s="14">
        <f>IF('Données projet'!$A$62&gt;35,AI55+AH56-AQ55,IF(A56&lt;'Données projet'!$A$62,$AF$205^A56,IF(A56='Données projet'!$A$62,'Données projet'!$B$62,AI55+AH56-AQ55)))</f>
        <v>188.39999999999998</v>
      </c>
      <c r="AJ56" s="14">
        <f>AI56*VLOOKUP('Données projet'!$B$10,Paramètres!$A$1:$I$89,3,0)*VLOOKUP('Données projet'!$B$10,Paramètres!$A$1:$I$89,5,0)</f>
        <v>164.58624</v>
      </c>
      <c r="AK56" s="14">
        <f t="shared" si="35"/>
        <v>41.875247075991886</v>
      </c>
      <c r="AL56" s="22">
        <f t="shared" si="4"/>
        <v>359.58708999068585</v>
      </c>
      <c r="AM56" s="60">
        <f t="shared" si="5"/>
        <v>652.92042332401911</v>
      </c>
      <c r="AN56" s="60">
        <f ca="1">AVERAGE(OFFSET($AM$3,0,0,'Données projet'!$E$10+1,1))-AVERAGE(OFFSET($H$3,0,0,'Données projet'!$E$10+1,1))</f>
        <v>274.66236526869056</v>
      </c>
      <c r="AO56" s="60">
        <f t="shared" si="36"/>
        <v>256.90876395053073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>
        <f>EXP(-LN(2)/35)*AU55+(1-EXP(-LN(2)/35))/(LN(2)/35)*AQ56*AR56*VLOOKUP('Données projet'!$B$10,Paramètres!$A$1:$I$89,3,0)*0.475*44/12</f>
        <v>0</v>
      </c>
      <c r="AV56" s="23">
        <f>EXP(-LN(2)/25)*AV55+(1-EXP(-LN(2)/25))/(LN(2)/25)*Calculateur!AQ56*Calculateur!AS56*VLOOKUP('Données projet'!$B$10,Paramètres!$A$1:$I$89,3,0)*0.475*44/12</f>
        <v>0</v>
      </c>
      <c r="AW56" s="23">
        <f>EXP(-LN(2)/2)*AW55+(1-EXP(-LN(2)/2))/(LN(2)/2)*AQ56*AT56*VLOOKUP('Données projet'!$B$10,Paramètres!$A$1:$I$89,3,0)*0.475*44/12</f>
        <v>0</v>
      </c>
      <c r="AX56" s="23">
        <f t="shared" si="6"/>
        <v>0</v>
      </c>
      <c r="AY56" s="76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10.199999999999999</v>
      </c>
      <c r="BD56" s="13">
        <f>IF('Données projet'!$A$88&gt;35,BD55+BC56-BL55,IF(A56&lt;'Données projet'!$A$88,$BA$205^A56,IF(A56='Données projet'!$A$88,'Données projet'!$B$88,BD55+BC56-BL55)))</f>
        <v>261.60000000000002</v>
      </c>
      <c r="BE56" s="14">
        <f>BD56*VLOOKUP('Données projet'!$B$11,Paramètres!$A$1:$I$89,3,0)*VLOOKUP('Données projet'!$B$11,Paramètres!$A$1:$I$89,5,0)</f>
        <v>236.69568000000001</v>
      </c>
      <c r="BF56" s="14">
        <f t="shared" si="37"/>
        <v>57.72801732243034</v>
      </c>
      <c r="BG56" s="22">
        <f t="shared" si="7"/>
        <v>512.78793950323291</v>
      </c>
      <c r="BH56" s="60">
        <f t="shared" si="8"/>
        <v>806.12127283656628</v>
      </c>
      <c r="BI56" s="60">
        <f ca="1">AVERAGE(OFFSET($BH$3,0,0,'Données projet'!$E$11+1,1))-AVERAGE(OFFSET($H$3,0,0,'Données projet'!$E$11+1,1))</f>
        <v>529.25712986118265</v>
      </c>
      <c r="BJ56" s="60">
        <f t="shared" si="38"/>
        <v>278.21741231699929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>
        <f>EXP(-LN(2)/35)*BP55+(1-EXP(-LN(2)/35))/(LN(2)/35)*BL56*BM56*VLOOKUP('Données projet'!$B$11,Paramètres!$A$1:$I$89,3,0)*0.475*44/12</f>
        <v>0</v>
      </c>
      <c r="BQ56" s="23">
        <f>EXP(-LN(2)/25)*BQ55+(1-EXP(-LN(2)/25))/(LN(2)/25)*Calculateur!BL56*Calculateur!BN56*VLOOKUP('Données projet'!$B$11,Paramètres!$A$1:$I$89,3,0)*0.475*44/12</f>
        <v>0</v>
      </c>
      <c r="BR56" s="23">
        <f>EXP(-LN(2)/2)*BR55+(1-EXP(-LN(2)/2))/(LN(2)/2)*BL56*BO56*VLOOKUP('Données projet'!$B$11,Paramètres!$A$1:$I$89,3,0)*0.475*44/12</f>
        <v>0</v>
      </c>
      <c r="BS56" s="24">
        <f t="shared" si="9"/>
        <v>0</v>
      </c>
      <c r="BT56" s="77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10.199999999999999</v>
      </c>
      <c r="BY56" s="13">
        <f>IF('Données projet'!$A$114&gt;35,BY55+BX56-CG55,IF(A56&lt;'Données projet'!$A$114,$BV$205^A56,IF(A56='Données projet'!$A$114,'Données projet'!$B$114,BY55+BX56-CG55)))</f>
        <v>261.60000000000002</v>
      </c>
      <c r="BZ56" s="14">
        <f>BY56*VLOOKUP('Données projet'!$B$12,Paramètres!$A$1:$I$89,3,0)*VLOOKUP('Données projet'!$B$12,Paramètres!$A$1:$I$89,5,0)</f>
        <v>265.26240000000001</v>
      </c>
      <c r="CA56" s="14">
        <f t="shared" si="39"/>
        <v>63.842797461739814</v>
      </c>
      <c r="CB56" s="22">
        <f t="shared" si="10"/>
        <v>573.19155224586348</v>
      </c>
      <c r="CC56" s="60">
        <f t="shared" si="11"/>
        <v>866.52488557919673</v>
      </c>
      <c r="CD56" s="60">
        <f ca="1">AVERAGE(OFFSET($CC$3,0,0,'Données projet'!$E$12+1,1))-AVERAGE(OFFSET($H$3,0,0,'Données projet'!$E$12+1,1))</f>
        <v>587.74247372331615</v>
      </c>
      <c r="CE56" s="60">
        <f t="shared" si="40"/>
        <v>306.61893266146666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>
        <f>EXP(-LN(2)/35)*CK55+(1-EXP(-LN(2)/35))/(LN(2)/35)*CG56*CH56*VLOOKUP('Données projet'!$B$12,Paramètres!$A$1:$I$89,3,0)*0.475*44/12</f>
        <v>0</v>
      </c>
      <c r="CL56" s="23">
        <f>EXP(-LN(2)/25)*CL55+(1-EXP(-LN(2)/25))/(LN(2)/25)*Calculateur!CG56*Calculateur!CI56*VLOOKUP('Données projet'!$B$12,Paramètres!$A$1:$I$89,3,0)*0.475*44/12</f>
        <v>0</v>
      </c>
      <c r="CM56" s="23">
        <f>EXP(-LN(2)/2)*CM55+(1-EXP(-LN(2)/2))/(LN(2)/2)*CG56*CJ56*VLOOKUP('Données projet'!$B$12,Paramètres!$A$1:$I$89,3,0)*0.475*44/12</f>
        <v>0</v>
      </c>
      <c r="CN56" s="24">
        <f t="shared" si="12"/>
        <v>0</v>
      </c>
      <c r="CO56" s="77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10.199999999999999</v>
      </c>
      <c r="CT56" s="13">
        <f>IF('Données projet'!$A$140&gt;35,CT55+CS56-DB55,IF(A56&lt;'Données projet'!$A$140,$CQ$205^A56,IF(A56='Données projet'!$A$140,'Données projet'!$B$140,CT55+CS56-DB55)))</f>
        <v>261.60000000000002</v>
      </c>
      <c r="CU56" s="18">
        <f>CT56*VLOOKUP('Données projet'!$B$13,Paramètres!$A$1:$I$89,3,0)*VLOOKUP('Données projet'!$B$13,Paramètres!$A$1:$I$89,5,0)</f>
        <v>281.58623999999998</v>
      </c>
      <c r="CV56" s="14">
        <f t="shared" si="41"/>
        <v>67.302116699219098</v>
      </c>
      <c r="CW56" s="22">
        <f t="shared" si="13"/>
        <v>607.64722125113985</v>
      </c>
      <c r="CX56" s="60">
        <f t="shared" si="14"/>
        <v>900.98055458447311</v>
      </c>
      <c r="CY56" s="60">
        <f ca="1">AVERAGE(OFFSET($CX$3,0,0,'Données projet'!$E$13+1,1))-AVERAGE(OFFSET($H$3,0,0,'Données projet'!$E$13+1,1))</f>
        <v>621.10465023992288</v>
      </c>
      <c r="CZ56" s="60">
        <f t="shared" si="42"/>
        <v>322.81767004794284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>
        <f>EXP(-LN(2)/35)*DF55+(1-EXP(-LN(2)/35))/(LN(2)/35)*DB56*DC56*VLOOKUP('Données projet'!$B$13,Paramètres!$A$1:$I$89,3,0)*0.475*44/12</f>
        <v>0</v>
      </c>
      <c r="DG56" s="23">
        <f>EXP(-LN(2)/25)*DG55+(1-EXP(-LN(2)/25))/(LN(2)/25)*Calculateur!DB56*Calculateur!DD56*VLOOKUP('Données projet'!$B$13,Paramètres!$A$1:$I$89,3,0)*0.475*44/12</f>
        <v>0</v>
      </c>
      <c r="DH56" s="23">
        <f>EXP(-LN(2)/2)*DH55+(1-EXP(-LN(2)/2))/(LN(2)/2)*DB56*DE56*VLOOKUP('Données projet'!$B$13,Paramètres!$A$1:$I$89,3,0)*0.475*44/12</f>
        <v>0</v>
      </c>
      <c r="DI56" s="24">
        <f t="shared" si="15"/>
        <v>0</v>
      </c>
      <c r="DJ56" s="77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10.199999999999999</v>
      </c>
      <c r="DO56" s="13">
        <f>IF('Données projet'!$A$166&gt;35,DO55+DN56-DW55,IF(A56&lt;'Données projet'!$A$166,$DL$205^A56,IF(A56='Données projet'!$A$166,'Données projet'!$B$166,DO55+DN56-DW55)))</f>
        <v>261.60000000000002</v>
      </c>
      <c r="DP56" s="18">
        <f>DO56*VLOOKUP('Données projet'!$B$14,Paramètres!$A$1:$I$89,3,0)*VLOOKUP('Données projet'!$B$14,Paramètres!$A$1:$I$89,5,0)</f>
        <v>253.01952000000003</v>
      </c>
      <c r="DQ56" s="14">
        <f t="shared" si="43"/>
        <v>61.232073131479261</v>
      </c>
      <c r="DR56" s="22">
        <f t="shared" si="16"/>
        <v>547.32152470399308</v>
      </c>
      <c r="DS56" s="60">
        <f t="shared" si="17"/>
        <v>840.65485803732645</v>
      </c>
      <c r="DT56" s="60">
        <f ca="1">AVERAGE(OFFSET($DS$3,0,0,'Données projet'!$E$14+1,1))-AVERAGE(OFFSET($H$3,0,0,'Données projet'!$E$14+1,1))</f>
        <v>562.69380557620775</v>
      </c>
      <c r="DU56" s="60">
        <f t="shared" si="44"/>
        <v>294.45557293177131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>
        <f>EXP(-LN(2)/35)*EA55+(1-EXP(-LN(2)/35))/(LN(2)/35)*DW56*DX56*VLOOKUP('Données projet'!$B$14,Paramètres!$A$1:$I$89,3,0)*0.475*44/12</f>
        <v>0</v>
      </c>
      <c r="EB56" s="23">
        <f>EXP(-LN(2)/25)*EB55+(1-EXP(-LN(2)/25))/(LN(2)/25)*Calculateur!DW56*Calculateur!DY56*VLOOKUP('Données projet'!$B$14,Paramètres!$A$1:$I$89,3,0)*0.475*44/12</f>
        <v>0</v>
      </c>
      <c r="EC56" s="23">
        <f>EXP(-LN(2)/2)*EC55+(1-EXP(-LN(2)/2))/(LN(2)/2)*DW56*DZ56*VLOOKUP('Données projet'!$B$14,Paramètres!$A$1:$I$89,3,0)*0.475*44/12</f>
        <v>0</v>
      </c>
      <c r="ED56" s="24">
        <f t="shared" si="18"/>
        <v>0</v>
      </c>
      <c r="EE56" s="77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9.375</v>
      </c>
      <c r="EJ56" s="13">
        <f>IF('Données projet'!$A$192&gt;35,EJ55+EI56-ER55,IF(A56&lt;'Données projet'!$A$192,$EG$205^A56,IF(A56='Données projet'!$A$192,'Données projet'!$B$192,EJ55+EI56-ER55)))</f>
        <v>231.37499999999994</v>
      </c>
      <c r="EK56" s="18">
        <f>EJ56*VLOOKUP('Données projet'!$B$15,Paramètres!$A$1:$I$89,3,0)*VLOOKUP('Données projet'!$B$15,Paramètres!$A$1:$I$89,5,0)</f>
        <v>180.47249999999997</v>
      </c>
      <c r="EL56" s="14">
        <f t="shared" si="45"/>
        <v>45.427292666837829</v>
      </c>
      <c r="EM56" s="22">
        <f t="shared" si="19"/>
        <v>393.44213889474253</v>
      </c>
      <c r="EN56" s="60">
        <f t="shared" si="20"/>
        <v>686.77547222807584</v>
      </c>
      <c r="EO56" s="60">
        <f ca="1">AVERAGE(OFFSET($EN$3,0,0,'Données projet'!$E$15+1,1))-AVERAGE(OFFSET($H$3,0,0,'Données projet'!$E$15+1,1))</f>
        <v>292.57482726862594</v>
      </c>
      <c r="EP56" s="60">
        <f t="shared" si="46"/>
        <v>283.48738729114024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>
        <f>EXP(-LN(2)/35)*EV55+(1-EXP(-LN(2)/35))/(LN(2)/35)*ER56*ES56*VLOOKUP('Données projet'!$B$15,Paramètres!$A$1:$I$89,3,0)*0.475*44/12</f>
        <v>0</v>
      </c>
      <c r="EW56" s="23">
        <f>EXP(-LN(2)/25)*EW55+(1-EXP(-LN(2)/25))/(LN(2)/25)*Calculateur!ER56*Calculateur!ET56*VLOOKUP('Données projet'!$B$15,Paramètres!$A$1:$I$89,3,0)*0.475*44/12</f>
        <v>0</v>
      </c>
      <c r="EX56" s="23">
        <f>EXP(-LN(2)/2)*EX55+(1-EXP(-LN(2)/2))/(LN(2)/2)*ER56*EU56*VLOOKUP('Données projet'!$B$15,Paramètres!$A$1:$I$89,3,0)*0.475*44/12</f>
        <v>0</v>
      </c>
      <c r="EY56" s="24">
        <f t="shared" si="21"/>
        <v>0</v>
      </c>
      <c r="EZ56" s="77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0" t="e">
        <f t="shared" si="23"/>
        <v>#N/A</v>
      </c>
      <c r="FJ56" s="60" t="e">
        <f ca="1">AVERAGE(OFFSET($FI$3,0,0,'Données projet'!$E$16+1,1))-AVERAGE(OFFSET($H$3,0,0,'Données projet'!$E$16+1,1))</f>
        <v>#N/A</v>
      </c>
      <c r="FK56" s="60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77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0" t="e">
        <f t="shared" si="26"/>
        <v>#N/A</v>
      </c>
      <c r="GE56" s="60" t="e">
        <f ca="1">AVERAGE(OFFSET($GD$3,0,0,'Données projet'!$E$17+1,1))-AVERAGE(OFFSET($H$3,0,0,'Données projet'!$E$17+1,1))</f>
        <v>#N/A</v>
      </c>
      <c r="GF56" s="60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77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0" t="e">
        <f t="shared" si="29"/>
        <v>#N/A</v>
      </c>
      <c r="GZ56" s="60" t="e">
        <f ca="1">AVERAGE(OFFSET($GY$3,0,0,'Données projet'!$E$18+1,1))-AVERAGE(OFFSET($H$3,0,0,'Données projet'!$E$18+1,1))</f>
        <v>#N/A</v>
      </c>
      <c r="HA56" s="60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25">
      <c r="A57" s="11">
        <f t="shared" si="31"/>
        <v>54</v>
      </c>
      <c r="B57" s="74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2">
        <f t="shared" si="32"/>
        <v>0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0</v>
      </c>
      <c r="H57" s="67">
        <f t="shared" si="1"/>
        <v>256.66666666666669</v>
      </c>
      <c r="I57" s="7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5.6410256410256405</v>
      </c>
      <c r="N57" s="14">
        <f>IF('Données projet'!$A$36&gt;35,N56+M57-V56,IF(A57&lt;'Données projet'!$A$36,$K$205^A57,IF(A57='Données projet'!$A$36,'Données projet'!$B$36,N56+M57-V56)))</f>
        <v>192.43589743589735</v>
      </c>
      <c r="O57" s="14">
        <f>N57*VLOOKUP('Données projet'!$B$9,Paramètres!$A$1:$I$89,3,0)*VLOOKUP('Données projet'!$B$9,Paramètres!$A$1:$I$89,5,0)</f>
        <v>183.1219999999999</v>
      </c>
      <c r="P57" s="14">
        <f t="shared" si="33"/>
        <v>46.016076982551581</v>
      </c>
      <c r="Q57" s="22">
        <f t="shared" si="53"/>
        <v>399.08215074461049</v>
      </c>
      <c r="R57" s="60">
        <f t="shared" si="0"/>
        <v>692.4154840779438</v>
      </c>
      <c r="S57" s="60">
        <f ca="1">AVERAGE(OFFSET($R$3,0,0,'Données projet'!$E$9+1,1))-AVERAGE(OFFSET($H$3,0,0,'Données projet'!$E$9+1,1))</f>
        <v>403.49781966317852</v>
      </c>
      <c r="T57" s="60">
        <f t="shared" si="34"/>
        <v>326.06674572505409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0</v>
      </c>
      <c r="AA57" s="23">
        <f>EXP(-LN(2)/25)*AA56+(1-EXP(-LN(2)/25))/(LN(2)/25)*Calculateur!V57*Calculateur!X57*VLOOKUP('Données projet'!$B$9,Paramètres!$A$1:$I$89,3,0)*0.475*44/12</f>
        <v>0</v>
      </c>
      <c r="AB57" s="23">
        <f>EXP(-LN(2)/2)*AB56+(1-EXP(-LN(2)/2))/(LN(2)/2)*V57*Y57*VLOOKUP('Données projet'!$B$9,Paramètres!$A$1:$I$89,3,0)*0.475*44/12</f>
        <v>0</v>
      </c>
      <c r="AC57" s="24">
        <f t="shared" si="3"/>
        <v>0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4.8</v>
      </c>
      <c r="AI57" s="14">
        <f>IF('Données projet'!$A$62&gt;35,AI56+AH57-AQ56,IF(A57&lt;'Données projet'!$A$62,$AF$205^A57,IF(A57='Données projet'!$A$62,'Données projet'!$B$62,AI56+AH57-AQ56)))</f>
        <v>193.2</v>
      </c>
      <c r="AJ57" s="14">
        <f>AI57*VLOOKUP('Données projet'!$B$10,Paramètres!$A$1:$I$89,3,0)*VLOOKUP('Données projet'!$B$10,Paramètres!$A$1:$I$89,5,0)</f>
        <v>168.77952000000002</v>
      </c>
      <c r="AK57" s="14">
        <f t="shared" si="35"/>
        <v>42.816562145177031</v>
      </c>
      <c r="AL57" s="22">
        <f t="shared" si="4"/>
        <v>368.52984306951663</v>
      </c>
      <c r="AM57" s="60">
        <f t="shared" si="5"/>
        <v>661.86317640284994</v>
      </c>
      <c r="AN57" s="60">
        <f ca="1">AVERAGE(OFFSET($AM$3,0,0,'Données projet'!$E$10+1,1))-AVERAGE(OFFSET($H$3,0,0,'Données projet'!$E$10+1,1))</f>
        <v>274.66236526869056</v>
      </c>
      <c r="AO57" s="60">
        <f t="shared" si="36"/>
        <v>256.90876395053073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>
        <f>EXP(-LN(2)/35)*AU56+(1-EXP(-LN(2)/35))/(LN(2)/35)*AQ57*AR57*VLOOKUP('Données projet'!$B$10,Paramètres!$A$1:$I$89,3,0)*0.475*44/12</f>
        <v>0</v>
      </c>
      <c r="AV57" s="23">
        <f>EXP(-LN(2)/25)*AV56+(1-EXP(-LN(2)/25))/(LN(2)/25)*Calculateur!AQ57*Calculateur!AS57*VLOOKUP('Données projet'!$B$10,Paramètres!$A$1:$I$89,3,0)*0.475*44/12</f>
        <v>0</v>
      </c>
      <c r="AW57" s="23">
        <f>EXP(-LN(2)/2)*AW56+(1-EXP(-LN(2)/2))/(LN(2)/2)*AQ57*AT57*VLOOKUP('Données projet'!$B$10,Paramètres!$A$1:$I$89,3,0)*0.475*44/12</f>
        <v>0</v>
      </c>
      <c r="AX57" s="23">
        <f t="shared" si="6"/>
        <v>0</v>
      </c>
      <c r="AY57" s="76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10.199999999999999</v>
      </c>
      <c r="BD57" s="13">
        <f>IF('Données projet'!$A$88&gt;35,BD56+BC57-BL56,IF(A57&lt;'Données projet'!$A$88,$BA$205^A57,IF(A57='Données projet'!$A$88,'Données projet'!$B$88,BD56+BC57-BL56)))</f>
        <v>271.8</v>
      </c>
      <c r="BE57" s="14">
        <f>BD57*VLOOKUP('Données projet'!$B$11,Paramètres!$A$1:$I$89,3,0)*VLOOKUP('Données projet'!$B$11,Paramètres!$A$1:$I$89,5,0)</f>
        <v>245.92464000000001</v>
      </c>
      <c r="BF57" s="14">
        <f t="shared" si="37"/>
        <v>59.712430831913537</v>
      </c>
      <c r="BG57" s="22">
        <f t="shared" si="7"/>
        <v>532.31789836558266</v>
      </c>
      <c r="BH57" s="60">
        <f t="shared" si="8"/>
        <v>825.65123169891604</v>
      </c>
      <c r="BI57" s="60">
        <f ca="1">AVERAGE(OFFSET($BH$3,0,0,'Données projet'!$E$11+1,1))-AVERAGE(OFFSET($H$3,0,0,'Données projet'!$E$11+1,1))</f>
        <v>529.25712986118265</v>
      </c>
      <c r="BJ57" s="60">
        <f t="shared" si="38"/>
        <v>278.21741231699929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>
        <f>EXP(-LN(2)/35)*BP56+(1-EXP(-LN(2)/35))/(LN(2)/35)*BL57*BM57*VLOOKUP('Données projet'!$B$11,Paramètres!$A$1:$I$89,3,0)*0.475*44/12</f>
        <v>0</v>
      </c>
      <c r="BQ57" s="23">
        <f>EXP(-LN(2)/25)*BQ56+(1-EXP(-LN(2)/25))/(LN(2)/25)*Calculateur!BL57*Calculateur!BN57*VLOOKUP('Données projet'!$B$11,Paramètres!$A$1:$I$89,3,0)*0.475*44/12</f>
        <v>0</v>
      </c>
      <c r="BR57" s="23">
        <f>EXP(-LN(2)/2)*BR56+(1-EXP(-LN(2)/2))/(LN(2)/2)*BL57*BO57*VLOOKUP('Données projet'!$B$11,Paramètres!$A$1:$I$89,3,0)*0.475*44/12</f>
        <v>0</v>
      </c>
      <c r="BS57" s="24">
        <f t="shared" si="9"/>
        <v>0</v>
      </c>
      <c r="BT57" s="77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10.199999999999999</v>
      </c>
      <c r="BY57" s="13">
        <f>IF('Données projet'!$A$114&gt;35,BY56+BX57-CG56,IF(A57&lt;'Données projet'!$A$114,$BV$205^A57,IF(A57='Données projet'!$A$114,'Données projet'!$B$114,BY56+BX57-CG56)))</f>
        <v>271.8</v>
      </c>
      <c r="BZ57" s="14">
        <f>BY57*VLOOKUP('Données projet'!$B$12,Paramètres!$A$1:$I$89,3,0)*VLOOKUP('Données projet'!$B$12,Paramètres!$A$1:$I$89,5,0)</f>
        <v>275.60520000000002</v>
      </c>
      <c r="CA57" s="14">
        <f t="shared" si="39"/>
        <v>66.037407906416391</v>
      </c>
      <c r="CB57" s="22">
        <f t="shared" si="10"/>
        <v>595.02754210367516</v>
      </c>
      <c r="CC57" s="60">
        <f t="shared" si="11"/>
        <v>888.36087543700842</v>
      </c>
      <c r="CD57" s="60">
        <f ca="1">AVERAGE(OFFSET($CC$3,0,0,'Données projet'!$E$12+1,1))-AVERAGE(OFFSET($H$3,0,0,'Données projet'!$E$12+1,1))</f>
        <v>587.74247372331615</v>
      </c>
      <c r="CE57" s="60">
        <f t="shared" si="40"/>
        <v>306.61893266146666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>
        <f>EXP(-LN(2)/35)*CK56+(1-EXP(-LN(2)/35))/(LN(2)/35)*CG57*CH57*VLOOKUP('Données projet'!$B$12,Paramètres!$A$1:$I$89,3,0)*0.475*44/12</f>
        <v>0</v>
      </c>
      <c r="CL57" s="23">
        <f>EXP(-LN(2)/25)*CL56+(1-EXP(-LN(2)/25))/(LN(2)/25)*Calculateur!CG57*Calculateur!CI57*VLOOKUP('Données projet'!$B$12,Paramètres!$A$1:$I$89,3,0)*0.475*44/12</f>
        <v>0</v>
      </c>
      <c r="CM57" s="23">
        <f>EXP(-LN(2)/2)*CM56+(1-EXP(-LN(2)/2))/(LN(2)/2)*CG57*CJ57*VLOOKUP('Données projet'!$B$12,Paramètres!$A$1:$I$89,3,0)*0.475*44/12</f>
        <v>0</v>
      </c>
      <c r="CN57" s="24">
        <f t="shared" si="12"/>
        <v>0</v>
      </c>
      <c r="CO57" s="77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10.199999999999999</v>
      </c>
      <c r="CT57" s="13">
        <f>IF('Données projet'!$A$140&gt;35,CT56+CS57-DB56,IF(A57&lt;'Données projet'!$A$140,$CQ$205^A57,IF(A57='Données projet'!$A$140,'Données projet'!$B$140,CT56+CS57-DB56)))</f>
        <v>271.8</v>
      </c>
      <c r="CU57" s="18">
        <f>CT57*VLOOKUP('Données projet'!$B$13,Paramètres!$A$1:$I$89,3,0)*VLOOKUP('Données projet'!$B$13,Paramètres!$A$1:$I$89,5,0)</f>
        <v>292.56551999999999</v>
      </c>
      <c r="CV57" s="14">
        <f t="shared" si="41"/>
        <v>69.615642016549756</v>
      </c>
      <c r="CW57" s="22">
        <f t="shared" si="13"/>
        <v>630.79885717882416</v>
      </c>
      <c r="CX57" s="60">
        <f t="shared" si="14"/>
        <v>924.13219051215742</v>
      </c>
      <c r="CY57" s="60">
        <f ca="1">AVERAGE(OFFSET($CX$3,0,0,'Données projet'!$E$13+1,1))-AVERAGE(OFFSET($H$3,0,0,'Données projet'!$E$13+1,1))</f>
        <v>621.10465023992288</v>
      </c>
      <c r="CZ57" s="60">
        <f t="shared" si="42"/>
        <v>322.81767004794284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>
        <f>EXP(-LN(2)/35)*DF56+(1-EXP(-LN(2)/35))/(LN(2)/35)*DB57*DC57*VLOOKUP('Données projet'!$B$13,Paramètres!$A$1:$I$89,3,0)*0.475*44/12</f>
        <v>0</v>
      </c>
      <c r="DG57" s="23">
        <f>EXP(-LN(2)/25)*DG56+(1-EXP(-LN(2)/25))/(LN(2)/25)*Calculateur!DB57*Calculateur!DD57*VLOOKUP('Données projet'!$B$13,Paramètres!$A$1:$I$89,3,0)*0.475*44/12</f>
        <v>0</v>
      </c>
      <c r="DH57" s="23">
        <f>EXP(-LN(2)/2)*DH56+(1-EXP(-LN(2)/2))/(LN(2)/2)*DB57*DE57*VLOOKUP('Données projet'!$B$13,Paramètres!$A$1:$I$89,3,0)*0.475*44/12</f>
        <v>0</v>
      </c>
      <c r="DI57" s="24">
        <f t="shared" si="15"/>
        <v>0</v>
      </c>
      <c r="DJ57" s="77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10.199999999999999</v>
      </c>
      <c r="DO57" s="13">
        <f>IF('Données projet'!$A$166&gt;35,DO56+DN57-DW56,IF(A57&lt;'Données projet'!$A$166,$DL$205^A57,IF(A57='Données projet'!$A$166,'Données projet'!$B$166,DO56+DN57-DW56)))</f>
        <v>271.8</v>
      </c>
      <c r="DP57" s="18">
        <f>DO57*VLOOKUP('Données projet'!$B$14,Paramètres!$A$1:$I$89,3,0)*VLOOKUP('Données projet'!$B$14,Paramètres!$A$1:$I$89,5,0)</f>
        <v>262.88496000000004</v>
      </c>
      <c r="DQ57" s="14">
        <f t="shared" si="43"/>
        <v>63.336939343271965</v>
      </c>
      <c r="DR57" s="22">
        <f t="shared" si="16"/>
        <v>568.16980802286537</v>
      </c>
      <c r="DS57" s="60">
        <f t="shared" si="17"/>
        <v>861.50314135619874</v>
      </c>
      <c r="DT57" s="60">
        <f ca="1">AVERAGE(OFFSET($DS$3,0,0,'Données projet'!$E$14+1,1))-AVERAGE(OFFSET($H$3,0,0,'Données projet'!$E$14+1,1))</f>
        <v>562.69380557620775</v>
      </c>
      <c r="DU57" s="60">
        <f t="shared" si="44"/>
        <v>294.45557293177131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>
        <f>EXP(-LN(2)/35)*EA56+(1-EXP(-LN(2)/35))/(LN(2)/35)*DW57*DX57*VLOOKUP('Données projet'!$B$14,Paramètres!$A$1:$I$89,3,0)*0.475*44/12</f>
        <v>0</v>
      </c>
      <c r="EB57" s="23">
        <f>EXP(-LN(2)/25)*EB56+(1-EXP(-LN(2)/25))/(LN(2)/25)*Calculateur!DW57*Calculateur!DY57*VLOOKUP('Données projet'!$B$14,Paramètres!$A$1:$I$89,3,0)*0.475*44/12</f>
        <v>0</v>
      </c>
      <c r="EC57" s="23">
        <f>EXP(-LN(2)/2)*EC56+(1-EXP(-LN(2)/2))/(LN(2)/2)*DW57*DZ57*VLOOKUP('Données projet'!$B$14,Paramètres!$A$1:$I$89,3,0)*0.475*44/12</f>
        <v>0</v>
      </c>
      <c r="ED57" s="24">
        <f t="shared" si="18"/>
        <v>0</v>
      </c>
      <c r="EE57" s="77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9.375</v>
      </c>
      <c r="EJ57" s="13">
        <f>IF('Données projet'!$A$192&gt;35,EJ56+EI57-ER56,IF(A57&lt;'Données projet'!$A$192,$EG$205^A57,IF(A57='Données projet'!$A$192,'Données projet'!$B$192,EJ56+EI57-ER56)))</f>
        <v>240.74999999999994</v>
      </c>
      <c r="EK57" s="18">
        <f>EJ57*VLOOKUP('Données projet'!$B$15,Paramètres!$A$1:$I$89,3,0)*VLOOKUP('Données projet'!$B$15,Paramètres!$A$1:$I$89,5,0)</f>
        <v>187.78499999999997</v>
      </c>
      <c r="EL57" s="14">
        <f t="shared" si="45"/>
        <v>47.049914090154054</v>
      </c>
      <c r="EM57" s="22">
        <f t="shared" si="19"/>
        <v>409.00414204035161</v>
      </c>
      <c r="EN57" s="60">
        <f t="shared" si="20"/>
        <v>702.33747537368492</v>
      </c>
      <c r="EO57" s="60">
        <f ca="1">AVERAGE(OFFSET($EN$3,0,0,'Données projet'!$E$15+1,1))-AVERAGE(OFFSET($H$3,0,0,'Données projet'!$E$15+1,1))</f>
        <v>292.57482726862594</v>
      </c>
      <c r="EP57" s="60">
        <f t="shared" si="46"/>
        <v>283.48738729114024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>
        <f>EXP(-LN(2)/35)*EV56+(1-EXP(-LN(2)/35))/(LN(2)/35)*ER57*ES57*VLOOKUP('Données projet'!$B$15,Paramètres!$A$1:$I$89,3,0)*0.475*44/12</f>
        <v>0</v>
      </c>
      <c r="EW57" s="23">
        <f>EXP(-LN(2)/25)*EW56+(1-EXP(-LN(2)/25))/(LN(2)/25)*Calculateur!ER57*Calculateur!ET57*VLOOKUP('Données projet'!$B$15,Paramètres!$A$1:$I$89,3,0)*0.475*44/12</f>
        <v>0</v>
      </c>
      <c r="EX57" s="23">
        <f>EXP(-LN(2)/2)*EX56+(1-EXP(-LN(2)/2))/(LN(2)/2)*ER57*EU57*VLOOKUP('Données projet'!$B$15,Paramètres!$A$1:$I$89,3,0)*0.475*44/12</f>
        <v>0</v>
      </c>
      <c r="EY57" s="24">
        <f t="shared" si="21"/>
        <v>0</v>
      </c>
      <c r="EZ57" s="77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0" t="e">
        <f t="shared" si="23"/>
        <v>#N/A</v>
      </c>
      <c r="FJ57" s="60" t="e">
        <f ca="1">AVERAGE(OFFSET($FI$3,0,0,'Données projet'!$E$16+1,1))-AVERAGE(OFFSET($H$3,0,0,'Données projet'!$E$16+1,1))</f>
        <v>#N/A</v>
      </c>
      <c r="FK57" s="60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77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0" t="e">
        <f t="shared" si="26"/>
        <v>#N/A</v>
      </c>
      <c r="GE57" s="60" t="e">
        <f ca="1">AVERAGE(OFFSET($GD$3,0,0,'Données projet'!$E$17+1,1))-AVERAGE(OFFSET($H$3,0,0,'Données projet'!$E$17+1,1))</f>
        <v>#N/A</v>
      </c>
      <c r="GF57" s="60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77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0" t="e">
        <f t="shared" si="29"/>
        <v>#N/A</v>
      </c>
      <c r="GZ57" s="60" t="e">
        <f ca="1">AVERAGE(OFFSET($GY$3,0,0,'Données projet'!$E$18+1,1))-AVERAGE(OFFSET($H$3,0,0,'Données projet'!$E$18+1,1))</f>
        <v>#N/A</v>
      </c>
      <c r="HA57" s="60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25">
      <c r="A58" s="11">
        <f t="shared" si="31"/>
        <v>55</v>
      </c>
      <c r="B58" s="74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2">
        <f t="shared" si="32"/>
        <v>0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0</v>
      </c>
      <c r="H58" s="67">
        <f t="shared" si="1"/>
        <v>256.66666666666669</v>
      </c>
      <c r="I58" s="7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>
        <f>VLOOKUP(A58,'Données projet'!$A$35:$I$55,2,0)</f>
        <v>198.07692307692307</v>
      </c>
      <c r="L58" s="13">
        <f>VLOOKUP(A58,'Données projet'!$A$35:$I$55,9,0)</f>
        <v>5.6410256410256405</v>
      </c>
      <c r="M58" s="13">
        <f t="array" ref="M58">INDEX(L:L,MIN(IF(ISNUMBER(L58:L254),ROW(L58:L254),"")))</f>
        <v>5.6410256410256405</v>
      </c>
      <c r="N58" s="14">
        <f>IF('Données projet'!$A$36&gt;35,N57+M58-V57,IF(A58&lt;'Données projet'!$A$36,$K$205^A58,IF(A58='Données projet'!$A$36,'Données projet'!$B$36,N57+M58-V57)))</f>
        <v>198.07692307692298</v>
      </c>
      <c r="O58" s="14">
        <f>N58*VLOOKUP('Données projet'!$B$9,Paramètres!$A$1:$I$89,3,0)*VLOOKUP('Données projet'!$B$9,Paramètres!$A$1:$I$89,5,0)</f>
        <v>188.4899999999999</v>
      </c>
      <c r="P58" s="14">
        <f t="shared" si="33"/>
        <v>47.205958418831322</v>
      </c>
      <c r="Q58" s="22">
        <f t="shared" si="53"/>
        <v>410.50379424613106</v>
      </c>
      <c r="R58" s="60">
        <f t="shared" si="0"/>
        <v>703.83712757946432</v>
      </c>
      <c r="S58" s="60">
        <f ca="1">AVERAGE(OFFSET($R$3,0,0,'Données projet'!$E$9+1,1))-AVERAGE(OFFSET($H$3,0,0,'Données projet'!$E$9+1,1))</f>
        <v>403.49781966317852</v>
      </c>
      <c r="T58" s="60">
        <f t="shared" si="34"/>
        <v>326.06674572505409</v>
      </c>
      <c r="U58" s="16">
        <f>IF(ISNA(VLOOKUP(A58,'Données projet'!$A$35:$I$55,3,0)),0,VLOOKUP(A58,'Données projet'!$A$35:$I$55,3,0))</f>
        <v>0</v>
      </c>
      <c r="V58" s="16">
        <f>IF(ISNA(VLOOKUP(A58,'Données projet'!$A$35:$I$55,4,0)),0,VLOOKUP(A58,'Données projet'!$A$35:$I$55,4,0))</f>
        <v>0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0</v>
      </c>
      <c r="AA58" s="23">
        <f>EXP(-LN(2)/25)*AA57+(1-EXP(-LN(2)/25))/(LN(2)/25)*Calculateur!V58*Calculateur!X58*VLOOKUP('Données projet'!$B$9,Paramètres!$A$1:$I$89,3,0)*0.475*44/12</f>
        <v>0</v>
      </c>
      <c r="AB58" s="23">
        <f>EXP(-LN(2)/2)*AB57+(1-EXP(-LN(2)/2))/(LN(2)/2)*V58*Y58*VLOOKUP('Données projet'!$B$9,Paramètres!$A$1:$I$89,3,0)*0.475*44/12</f>
        <v>0</v>
      </c>
      <c r="AC58" s="24">
        <f t="shared" si="3"/>
        <v>0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>
        <f>VLOOKUP(A58,'Données projet'!$A$61:$I$81,2,0)</f>
        <v>198</v>
      </c>
      <c r="AG58" s="13">
        <f>VLOOKUP(A58,'Données projet'!$A$61:$I$81,9,0)</f>
        <v>4.8</v>
      </c>
      <c r="AH58" s="13">
        <f t="array" ref="AH58">INDEX(AG:AG,MIN(IF(ISNUMBER(AG58:AG254),ROW(AG58:AG254),"")))</f>
        <v>4.8</v>
      </c>
      <c r="AI58" s="14">
        <f>IF('Données projet'!$A$62&gt;35,AI57+AH58-AQ57,IF(A58&lt;'Données projet'!$A$62,$AF$205^A58,IF(A58='Données projet'!$A$62,'Données projet'!$B$62,AI57+AH58-AQ57)))</f>
        <v>198</v>
      </c>
      <c r="AJ58" s="14">
        <f>AI58*VLOOKUP('Données projet'!$B$10,Paramètres!$A$1:$I$89,3,0)*VLOOKUP('Données projet'!$B$10,Paramètres!$A$1:$I$89,5,0)</f>
        <v>172.97280000000003</v>
      </c>
      <c r="AK58" s="14">
        <f t="shared" si="35"/>
        <v>43.75515863819728</v>
      </c>
      <c r="AL58" s="22">
        <f t="shared" si="4"/>
        <v>377.46786129486031</v>
      </c>
      <c r="AM58" s="60">
        <f t="shared" si="5"/>
        <v>670.80119462819357</v>
      </c>
      <c r="AN58" s="60">
        <f ca="1">AVERAGE(OFFSET($AM$3,0,0,'Données projet'!$E$10+1,1))-AVERAGE(OFFSET($H$3,0,0,'Données projet'!$E$10+1,1))</f>
        <v>274.66236526869056</v>
      </c>
      <c r="AO58" s="60">
        <f t="shared" si="36"/>
        <v>256.90876395053073</v>
      </c>
      <c r="AP58" s="16">
        <f>IF(ISNA(VLOOKUP(A58,'Données projet'!$A$61:$I$81,3,0)),0,VLOOKUP(A58,'Données projet'!$A$61:$I$81,3,0))</f>
        <v>4</v>
      </c>
      <c r="AQ58" s="16">
        <f>IF(ISNA(VLOOKUP(A58,'Données projet'!$A$61:$I$81,4,0)),0,VLOOKUP(A58,'Données projet'!$A$61:$I$81,4,0))</f>
        <v>24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>
        <f>EXP(-LN(2)/35)*AU57+(1-EXP(-LN(2)/35))/(LN(2)/35)*AQ58*AR58*VLOOKUP('Données projet'!$B$10,Paramètres!$A$1:$I$89,3,0)*0.475*44/12</f>
        <v>0</v>
      </c>
      <c r="AV58" s="23">
        <f>EXP(-LN(2)/25)*AV57+(1-EXP(-LN(2)/25))/(LN(2)/25)*Calculateur!AQ58*Calculateur!AS58*VLOOKUP('Données projet'!$B$10,Paramètres!$A$1:$I$89,3,0)*0.475*44/12</f>
        <v>0</v>
      </c>
      <c r="AW58" s="23">
        <f>EXP(-LN(2)/2)*AW57+(1-EXP(-LN(2)/2))/(LN(2)/2)*AQ58*AT58*VLOOKUP('Données projet'!$B$10,Paramètres!$A$1:$I$89,3,0)*0.475*44/12</f>
        <v>0</v>
      </c>
      <c r="AX58" s="23">
        <f t="shared" si="6"/>
        <v>0</v>
      </c>
      <c r="AY58" s="76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>
        <f>VLOOKUP(A58,'Données projet'!$A$87:$I$107,2,0)</f>
        <v>282</v>
      </c>
      <c r="BB58" s="13">
        <f>VLOOKUP(A58,'Données projet'!$A$87:$I$107,9,0)</f>
        <v>10.199999999999999</v>
      </c>
      <c r="BC58" s="13">
        <f t="array" ref="BC58">INDEX(BB:BB,MIN(IF(ISNUMBER(BB58:BB254),ROW(BB58:BB254),"")))</f>
        <v>10.199999999999999</v>
      </c>
      <c r="BD58" s="13">
        <f>IF('Données projet'!$A$88&gt;35,BD57+BC58-BL57,IF(A58&lt;'Données projet'!$A$88,$BA$205^A58,IF(A58='Données projet'!$A$88,'Données projet'!$B$88,BD57+BC58-BL57)))</f>
        <v>282</v>
      </c>
      <c r="BE58" s="14">
        <f>BD58*VLOOKUP('Données projet'!$B$11,Paramètres!$A$1:$I$89,3,0)*VLOOKUP('Données projet'!$B$11,Paramètres!$A$1:$I$89,5,0)</f>
        <v>255.15360000000001</v>
      </c>
      <c r="BF58" s="14">
        <f t="shared" si="37"/>
        <v>61.688192762754426</v>
      </c>
      <c r="BG58" s="22">
        <f t="shared" si="7"/>
        <v>551.83278906179726</v>
      </c>
      <c r="BH58" s="60">
        <f t="shared" si="8"/>
        <v>845.16612239513051</v>
      </c>
      <c r="BI58" s="60">
        <f ca="1">AVERAGE(OFFSET($BH$3,0,0,'Données projet'!$E$11+1,1))-AVERAGE(OFFSET($H$3,0,0,'Données projet'!$E$11+1,1))</f>
        <v>529.25712986118265</v>
      </c>
      <c r="BJ58" s="60">
        <f t="shared" si="38"/>
        <v>278.21741231699929</v>
      </c>
      <c r="BK58" s="16">
        <f>IF(ISNA(VLOOKUP(A58,'Données projet'!$A$87:$I$107,3,0)),0,VLOOKUP(A58,'Données projet'!$A$87:$I$107,3,0))</f>
        <v>4</v>
      </c>
      <c r="BL58" s="16">
        <f>IF(ISNA(VLOOKUP(A58,'Données projet'!$A$87:$I$107,4,0)),0,VLOOKUP(A58,'Données projet'!$A$87:$I$107,4,0))</f>
        <v>56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>
        <f>EXP(-LN(2)/35)*BP57+(1-EXP(-LN(2)/35))/(LN(2)/35)*BL58*BM58*VLOOKUP('Données projet'!$B$11,Paramètres!$A$1:$I$89,3,0)*0.475*44/12</f>
        <v>0</v>
      </c>
      <c r="BQ58" s="23">
        <f>EXP(-LN(2)/25)*BQ57+(1-EXP(-LN(2)/25))/(LN(2)/25)*Calculateur!BL58*Calculateur!BN58*VLOOKUP('Données projet'!$B$11,Paramètres!$A$1:$I$89,3,0)*0.475*44/12</f>
        <v>0</v>
      </c>
      <c r="BR58" s="23">
        <f>EXP(-LN(2)/2)*BR57+(1-EXP(-LN(2)/2))/(LN(2)/2)*BL58*BO58*VLOOKUP('Données projet'!$B$11,Paramètres!$A$1:$I$89,3,0)*0.475*44/12</f>
        <v>0</v>
      </c>
      <c r="BS58" s="24">
        <f t="shared" si="9"/>
        <v>0</v>
      </c>
      <c r="BT58" s="77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>
        <f>VLOOKUP(A58,'Données projet'!$A$113:$I$133,2,0)</f>
        <v>282</v>
      </c>
      <c r="BW58" s="13">
        <f>VLOOKUP(A58,'Données projet'!$A$113:$I$133,9,0)</f>
        <v>10.199999999999999</v>
      </c>
      <c r="BX58" s="13">
        <f t="array" ref="BX58">INDEX(BW:BW,MIN(IF(ISNUMBER(BW58:BW254),ROW(BW58:BW254),"")))</f>
        <v>10.199999999999999</v>
      </c>
      <c r="BY58" s="13">
        <f>IF('Données projet'!$A$114&gt;35,BY57+BX58-CG57,IF(A58&lt;'Données projet'!$A$114,$BV$205^A58,IF(A58='Données projet'!$A$114,'Données projet'!$B$114,BY57+BX58-CG57)))</f>
        <v>282</v>
      </c>
      <c r="BZ58" s="14">
        <f>BY58*VLOOKUP('Données projet'!$B$12,Paramètres!$A$1:$I$89,3,0)*VLOOKUP('Données projet'!$B$12,Paramètres!$A$1:$I$89,5,0)</f>
        <v>285.94800000000004</v>
      </c>
      <c r="CA58" s="14">
        <f t="shared" si="39"/>
        <v>68.222450362989363</v>
      </c>
      <c r="CB58" s="22">
        <f t="shared" si="10"/>
        <v>616.84686771553982</v>
      </c>
      <c r="CC58" s="60">
        <f t="shared" si="11"/>
        <v>910.18020104887319</v>
      </c>
      <c r="CD58" s="60">
        <f ca="1">AVERAGE(OFFSET($CC$3,0,0,'Données projet'!$E$12+1,1))-AVERAGE(OFFSET($H$3,0,0,'Données projet'!$E$12+1,1))</f>
        <v>587.74247372331615</v>
      </c>
      <c r="CE58" s="60">
        <f t="shared" si="40"/>
        <v>306.61893266146666</v>
      </c>
      <c r="CF58" s="16">
        <f>IF(ISNA(VLOOKUP(A58,'Données projet'!$A$113:$I$133,3,0)),0,VLOOKUP(A58,'Données projet'!$A$113:$I$133,3,0))</f>
        <v>4</v>
      </c>
      <c r="CG58" s="16">
        <f>IF(ISNA(VLOOKUP(A58,'Données projet'!$A$113:$I$133,4,0)),0,VLOOKUP(A58,'Données projet'!$A$113:$I$133,4,0))</f>
        <v>56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>
        <f>EXP(-LN(2)/35)*CK57+(1-EXP(-LN(2)/35))/(LN(2)/35)*CG58*CH58*VLOOKUP('Données projet'!$B$12,Paramètres!$A$1:$I$89,3,0)*0.475*44/12</f>
        <v>0</v>
      </c>
      <c r="CL58" s="23">
        <f>EXP(-LN(2)/25)*CL57+(1-EXP(-LN(2)/25))/(LN(2)/25)*Calculateur!CG58*Calculateur!CI58*VLOOKUP('Données projet'!$B$12,Paramètres!$A$1:$I$89,3,0)*0.475*44/12</f>
        <v>0</v>
      </c>
      <c r="CM58" s="23">
        <f>EXP(-LN(2)/2)*CM57+(1-EXP(-LN(2)/2))/(LN(2)/2)*CG58*CJ58*VLOOKUP('Données projet'!$B$12,Paramètres!$A$1:$I$89,3,0)*0.475*44/12</f>
        <v>0</v>
      </c>
      <c r="CN58" s="24">
        <f t="shared" si="12"/>
        <v>0</v>
      </c>
      <c r="CO58" s="77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>
        <f>VLOOKUP(A58,'Données projet'!$A$139:$I$159,2,0)</f>
        <v>282</v>
      </c>
      <c r="CR58" s="13">
        <f>VLOOKUP(A58,'Données projet'!$A$139:$I$159,9,0)</f>
        <v>10.199999999999999</v>
      </c>
      <c r="CS58" s="13">
        <f t="array" ref="CS58">INDEX(CR:CR,MIN(IF(ISNUMBER(CR58:CR254),ROW(CR58:CR254),"")))</f>
        <v>10.199999999999999</v>
      </c>
      <c r="CT58" s="13">
        <f>IF('Données projet'!$A$140&gt;35,CT57+CS58-DB57,IF(A58&lt;'Données projet'!$A$140,$CQ$205^A58,IF(A58='Données projet'!$A$140,'Données projet'!$B$140,CT57+CS58-DB57)))</f>
        <v>282</v>
      </c>
      <c r="CU58" s="18">
        <f>CT58*VLOOKUP('Données projet'!$B$13,Paramètres!$A$1:$I$89,3,0)*VLOOKUP('Données projet'!$B$13,Paramètres!$A$1:$I$89,5,0)</f>
        <v>303.54480000000001</v>
      </c>
      <c r="CV58" s="14">
        <f t="shared" si="41"/>
        <v>71.919080904752505</v>
      </c>
      <c r="CW58" s="22">
        <f t="shared" si="13"/>
        <v>653.93292590911062</v>
      </c>
      <c r="CX58" s="60">
        <f t="shared" si="14"/>
        <v>947.26625924244399</v>
      </c>
      <c r="CY58" s="60">
        <f ca="1">AVERAGE(OFFSET($CX$3,0,0,'Données projet'!$E$13+1,1))-AVERAGE(OFFSET($H$3,0,0,'Données projet'!$E$13+1,1))</f>
        <v>621.10465023992288</v>
      </c>
      <c r="CZ58" s="60">
        <f t="shared" si="42"/>
        <v>322.81767004794284</v>
      </c>
      <c r="DA58" s="16">
        <f>IF(ISNA(VLOOKUP(A58,'Données projet'!$A$139:$I$159,3,0)),0,VLOOKUP(A58,'Données projet'!$A$139:$I$159,3,0))</f>
        <v>4</v>
      </c>
      <c r="DB58" s="16">
        <f>IF(ISNA(VLOOKUP(A58,'Données projet'!$A$139:$I$159,4,0)),0,VLOOKUP(A58,'Données projet'!$A$139:$I$159,4,0))</f>
        <v>56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>
        <f>EXP(-LN(2)/35)*DF57+(1-EXP(-LN(2)/35))/(LN(2)/35)*DB58*DC58*VLOOKUP('Données projet'!$B$13,Paramètres!$A$1:$I$89,3,0)*0.475*44/12</f>
        <v>0</v>
      </c>
      <c r="DG58" s="23">
        <f>EXP(-LN(2)/25)*DG57+(1-EXP(-LN(2)/25))/(LN(2)/25)*Calculateur!DB58*Calculateur!DD58*VLOOKUP('Données projet'!$B$13,Paramètres!$A$1:$I$89,3,0)*0.475*44/12</f>
        <v>0</v>
      </c>
      <c r="DH58" s="23">
        <f>EXP(-LN(2)/2)*DH57+(1-EXP(-LN(2)/2))/(LN(2)/2)*DB58*DE58*VLOOKUP('Données projet'!$B$13,Paramètres!$A$1:$I$89,3,0)*0.475*44/12</f>
        <v>0</v>
      </c>
      <c r="DI58" s="24">
        <f t="shared" si="15"/>
        <v>0</v>
      </c>
      <c r="DJ58" s="77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>
        <f>VLOOKUP(A58,'Données projet'!$A$165:$I$185,2,0)</f>
        <v>282</v>
      </c>
      <c r="DM58" s="13">
        <f>VLOOKUP(A58,'Données projet'!$A$165:$I$185,9,0)</f>
        <v>10.199999999999999</v>
      </c>
      <c r="DN58" s="13">
        <f t="array" ref="DN58">INDEX(DM:DM,MIN(IF(ISNUMBER(DM58:DM254),ROW(DM58:DM254),"")))</f>
        <v>10.199999999999999</v>
      </c>
      <c r="DO58" s="13">
        <f>IF('Données projet'!$A$166&gt;35,DO57+DN58-DW57,IF(A58&lt;'Données projet'!$A$166,$DL$205^A58,IF(A58='Données projet'!$A$166,'Données projet'!$B$166,DO57+DN58-DW57)))</f>
        <v>282</v>
      </c>
      <c r="DP58" s="18">
        <f>DO58*VLOOKUP('Données projet'!$B$14,Paramètres!$A$1:$I$89,3,0)*VLOOKUP('Données projet'!$B$14,Paramètres!$A$1:$I$89,5,0)</f>
        <v>272.75040000000001</v>
      </c>
      <c r="DQ58" s="14">
        <f t="shared" si="43"/>
        <v>65.43262883082069</v>
      </c>
      <c r="DR58" s="22">
        <f t="shared" si="16"/>
        <v>589.00210854701277</v>
      </c>
      <c r="DS58" s="60">
        <f t="shared" si="17"/>
        <v>882.33544188034602</v>
      </c>
      <c r="DT58" s="60">
        <f ca="1">AVERAGE(OFFSET($DS$3,0,0,'Données projet'!$E$14+1,1))-AVERAGE(OFFSET($H$3,0,0,'Données projet'!$E$14+1,1))</f>
        <v>562.69380557620775</v>
      </c>
      <c r="DU58" s="60">
        <f t="shared" si="44"/>
        <v>294.45557293177131</v>
      </c>
      <c r="DV58" s="16">
        <f>IF(ISNA(VLOOKUP(A58,'Données projet'!$A$165:$I$185,3,0)),0,VLOOKUP(A58,'Données projet'!$A$165:$I$185,3,0))</f>
        <v>4</v>
      </c>
      <c r="DW58" s="16">
        <f>IF(ISNA(VLOOKUP(A58,'Données projet'!$A$165:$I$185,4,0)),0,VLOOKUP(A58,'Données projet'!$A$165:$I$185,4,0))</f>
        <v>56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>
        <f>EXP(-LN(2)/35)*EA57+(1-EXP(-LN(2)/35))/(LN(2)/35)*DW58*DX58*VLOOKUP('Données projet'!$B$14,Paramètres!$A$1:$I$89,3,0)*0.475*44/12</f>
        <v>0</v>
      </c>
      <c r="EB58" s="23">
        <f>EXP(-LN(2)/25)*EB57+(1-EXP(-LN(2)/25))/(LN(2)/25)*Calculateur!DW58*Calculateur!DY58*VLOOKUP('Données projet'!$B$14,Paramètres!$A$1:$I$89,3,0)*0.475*44/12</f>
        <v>0</v>
      </c>
      <c r="EC58" s="23">
        <f>EXP(-LN(2)/2)*EC57+(1-EXP(-LN(2)/2))/(LN(2)/2)*DW58*DZ58*VLOOKUP('Données projet'!$B$14,Paramètres!$A$1:$I$89,3,0)*0.475*44/12</f>
        <v>0</v>
      </c>
      <c r="ED58" s="24">
        <f t="shared" si="18"/>
        <v>0</v>
      </c>
      <c r="EE58" s="77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9.375</v>
      </c>
      <c r="EJ58" s="13">
        <f>IF('Données projet'!$A$192&gt;35,EJ57+EI58-ER57,IF(A58&lt;'Données projet'!$A$192,$EG$205^A58,IF(A58='Données projet'!$A$192,'Données projet'!$B$192,EJ57+EI58-ER57)))</f>
        <v>250.12499999999994</v>
      </c>
      <c r="EK58" s="18">
        <f>EJ58*VLOOKUP('Données projet'!$B$15,Paramètres!$A$1:$I$89,3,0)*VLOOKUP('Données projet'!$B$15,Paramètres!$A$1:$I$89,5,0)</f>
        <v>195.09749999999997</v>
      </c>
      <c r="EL58" s="14">
        <f t="shared" si="45"/>
        <v>48.66519532492584</v>
      </c>
      <c r="EM58" s="22">
        <f t="shared" si="19"/>
        <v>424.55336102424576</v>
      </c>
      <c r="EN58" s="60">
        <f t="shared" si="20"/>
        <v>717.88669435757902</v>
      </c>
      <c r="EO58" s="60">
        <f ca="1">AVERAGE(OFFSET($EN$3,0,0,'Données projet'!$E$15+1,1))-AVERAGE(OFFSET($H$3,0,0,'Données projet'!$E$15+1,1))</f>
        <v>292.57482726862594</v>
      </c>
      <c r="EP58" s="60">
        <f t="shared" si="46"/>
        <v>283.48738729114024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>
        <f>EXP(-LN(2)/35)*EV57+(1-EXP(-LN(2)/35))/(LN(2)/35)*ER58*ES58*VLOOKUP('Données projet'!$B$15,Paramètres!$A$1:$I$89,3,0)*0.475*44/12</f>
        <v>0</v>
      </c>
      <c r="EW58" s="23">
        <f>EXP(-LN(2)/25)*EW57+(1-EXP(-LN(2)/25))/(LN(2)/25)*Calculateur!ER58*Calculateur!ET58*VLOOKUP('Données projet'!$B$15,Paramètres!$A$1:$I$89,3,0)*0.475*44/12</f>
        <v>0</v>
      </c>
      <c r="EX58" s="23">
        <f>EXP(-LN(2)/2)*EX57+(1-EXP(-LN(2)/2))/(LN(2)/2)*ER58*EU58*VLOOKUP('Données projet'!$B$15,Paramètres!$A$1:$I$89,3,0)*0.475*44/12</f>
        <v>0</v>
      </c>
      <c r="EY58" s="24">
        <f t="shared" si="21"/>
        <v>0</v>
      </c>
      <c r="EZ58" s="77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0" t="e">
        <f t="shared" si="23"/>
        <v>#N/A</v>
      </c>
      <c r="FJ58" s="60" t="e">
        <f ca="1">AVERAGE(OFFSET($FI$3,0,0,'Données projet'!$E$16+1,1))-AVERAGE(OFFSET($H$3,0,0,'Données projet'!$E$16+1,1))</f>
        <v>#N/A</v>
      </c>
      <c r="FK58" s="60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77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0" t="e">
        <f t="shared" si="26"/>
        <v>#N/A</v>
      </c>
      <c r="GE58" s="60" t="e">
        <f ca="1">AVERAGE(OFFSET($GD$3,0,0,'Données projet'!$E$17+1,1))-AVERAGE(OFFSET($H$3,0,0,'Données projet'!$E$17+1,1))</f>
        <v>#N/A</v>
      </c>
      <c r="GF58" s="60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77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0" t="e">
        <f t="shared" si="29"/>
        <v>#N/A</v>
      </c>
      <c r="GZ58" s="60" t="e">
        <f ca="1">AVERAGE(OFFSET($GY$3,0,0,'Données projet'!$E$18+1,1))-AVERAGE(OFFSET($H$3,0,0,'Données projet'!$E$18+1,1))</f>
        <v>#N/A</v>
      </c>
      <c r="HA58" s="60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25">
      <c r="A59" s="11">
        <f t="shared" si="31"/>
        <v>56</v>
      </c>
      <c r="B59" s="74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2">
        <f t="shared" si="32"/>
        <v>0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0</v>
      </c>
      <c r="H59" s="67">
        <f t="shared" si="1"/>
        <v>256.66666666666669</v>
      </c>
      <c r="I59" s="7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5.3846153846153868</v>
      </c>
      <c r="N59" s="14">
        <f>IF('Données projet'!$A$36&gt;35,N58+M59-V58,IF(A59&lt;'Données projet'!$A$36,$K$205^A59,IF(A59='Données projet'!$A$36,'Données projet'!$B$36,N58+M59-V58)))</f>
        <v>203.46153846153837</v>
      </c>
      <c r="O59" s="14">
        <f>N59*VLOOKUP('Données projet'!$B$9,Paramètres!$A$1:$I$89,3,0)*VLOOKUP('Données projet'!$B$9,Paramètres!$A$1:$I$89,5,0)</f>
        <v>193.61399999999992</v>
      </c>
      <c r="P59" s="14">
        <f t="shared" si="33"/>
        <v>48.338078619840999</v>
      </c>
      <c r="Q59" s="22">
        <f t="shared" si="53"/>
        <v>421.39987026288958</v>
      </c>
      <c r="R59" s="60">
        <f t="shared" si="0"/>
        <v>714.73320359622289</v>
      </c>
      <c r="S59" s="60">
        <f ca="1">AVERAGE(OFFSET($R$3,0,0,'Données projet'!$E$9+1,1))-AVERAGE(OFFSET($H$3,0,0,'Données projet'!$E$9+1,1))</f>
        <v>403.49781966317852</v>
      </c>
      <c r="T59" s="60">
        <f t="shared" si="34"/>
        <v>326.06674572505409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0</v>
      </c>
      <c r="AA59" s="23">
        <f>EXP(-LN(2)/25)*AA58+(1-EXP(-LN(2)/25))/(LN(2)/25)*Calculateur!V59*Calculateur!X59*VLOOKUP('Données projet'!$B$9,Paramètres!$A$1:$I$89,3,0)*0.475*44/12</f>
        <v>0</v>
      </c>
      <c r="AB59" s="23">
        <f>EXP(-LN(2)/2)*AB58+(1-EXP(-LN(2)/2))/(LN(2)/2)*V59*Y59*VLOOKUP('Données projet'!$B$9,Paramètres!$A$1:$I$89,3,0)*0.475*44/12</f>
        <v>0</v>
      </c>
      <c r="AC59" s="24">
        <f t="shared" si="3"/>
        <v>0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4.2</v>
      </c>
      <c r="AI59" s="14">
        <f>IF('Données projet'!$A$62&gt;35,AI58+AH59-AQ58,IF(A59&lt;'Données projet'!$A$62,$AF$205^A59,IF(A59='Données projet'!$A$62,'Données projet'!$B$62,AI58+AH59-AQ58)))</f>
        <v>178.2</v>
      </c>
      <c r="AJ59" s="14">
        <f>AI59*VLOOKUP('Données projet'!$B$10,Paramètres!$A$1:$I$89,3,0)*VLOOKUP('Données projet'!$B$10,Paramètres!$A$1:$I$89,5,0)</f>
        <v>155.67552000000001</v>
      </c>
      <c r="AK59" s="14">
        <f t="shared" si="35"/>
        <v>39.865566884055099</v>
      </c>
      <c r="AL59" s="22">
        <f t="shared" si="4"/>
        <v>340.56739298972934</v>
      </c>
      <c r="AM59" s="60">
        <f t="shared" si="5"/>
        <v>633.9007263230626</v>
      </c>
      <c r="AN59" s="60">
        <f ca="1">AVERAGE(OFFSET($AM$3,0,0,'Données projet'!$E$10+1,1))-AVERAGE(OFFSET($H$3,0,0,'Données projet'!$E$10+1,1))</f>
        <v>274.66236526869056</v>
      </c>
      <c r="AO59" s="60">
        <f t="shared" si="36"/>
        <v>256.90876395053073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>
        <f>EXP(-LN(2)/35)*AU58+(1-EXP(-LN(2)/35))/(LN(2)/35)*AQ59*AR59*VLOOKUP('Données projet'!$B$10,Paramètres!$A$1:$I$89,3,0)*0.475*44/12</f>
        <v>0</v>
      </c>
      <c r="AV59" s="23">
        <f>EXP(-LN(2)/25)*AV58+(1-EXP(-LN(2)/25))/(LN(2)/25)*Calculateur!AQ59*Calculateur!AS59*VLOOKUP('Données projet'!$B$10,Paramètres!$A$1:$I$89,3,0)*0.475*44/12</f>
        <v>0</v>
      </c>
      <c r="AW59" s="23">
        <f>EXP(-LN(2)/2)*AW58+(1-EXP(-LN(2)/2))/(LN(2)/2)*AQ59*AT59*VLOOKUP('Données projet'!$B$10,Paramètres!$A$1:$I$89,3,0)*0.475*44/12</f>
        <v>0</v>
      </c>
      <c r="AX59" s="23">
        <f t="shared" si="6"/>
        <v>0</v>
      </c>
      <c r="AY59" s="76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9.4</v>
      </c>
      <c r="BD59" s="13">
        <f>IF('Données projet'!$A$88&gt;35,BD58+BC59-BL58,IF(A59&lt;'Données projet'!$A$88,$BA$205^A59,IF(A59='Données projet'!$A$88,'Données projet'!$B$88,BD58+BC59-BL58)))</f>
        <v>235.39999999999998</v>
      </c>
      <c r="BE59" s="14">
        <f>BD59*VLOOKUP('Données projet'!$B$11,Paramètres!$A$1:$I$89,3,0)*VLOOKUP('Données projet'!$B$11,Paramètres!$A$1:$I$89,5,0)</f>
        <v>212.98991999999998</v>
      </c>
      <c r="BF59" s="14">
        <f t="shared" si="37"/>
        <v>52.588419883221171</v>
      </c>
      <c r="BG59" s="22">
        <f t="shared" si="7"/>
        <v>462.54894196327677</v>
      </c>
      <c r="BH59" s="60">
        <f t="shared" si="8"/>
        <v>755.88227529661003</v>
      </c>
      <c r="BI59" s="60">
        <f ca="1">AVERAGE(OFFSET($BH$3,0,0,'Données projet'!$E$11+1,1))-AVERAGE(OFFSET($H$3,0,0,'Données projet'!$E$11+1,1))</f>
        <v>529.25712986118265</v>
      </c>
      <c r="BJ59" s="60">
        <f t="shared" si="38"/>
        <v>278.21741231699929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>
        <f>EXP(-LN(2)/35)*BP58+(1-EXP(-LN(2)/35))/(LN(2)/35)*BL59*BM59*VLOOKUP('Données projet'!$B$11,Paramètres!$A$1:$I$89,3,0)*0.475*44/12</f>
        <v>0</v>
      </c>
      <c r="BQ59" s="23">
        <f>EXP(-LN(2)/25)*BQ58+(1-EXP(-LN(2)/25))/(LN(2)/25)*Calculateur!BL59*Calculateur!BN59*VLOOKUP('Données projet'!$B$11,Paramètres!$A$1:$I$89,3,0)*0.475*44/12</f>
        <v>0</v>
      </c>
      <c r="BR59" s="23">
        <f>EXP(-LN(2)/2)*BR58+(1-EXP(-LN(2)/2))/(LN(2)/2)*BL59*BO59*VLOOKUP('Données projet'!$B$11,Paramètres!$A$1:$I$89,3,0)*0.475*44/12</f>
        <v>0</v>
      </c>
      <c r="BS59" s="24">
        <f t="shared" si="9"/>
        <v>0</v>
      </c>
      <c r="BT59" s="77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9.4</v>
      </c>
      <c r="BY59" s="13">
        <f>IF('Données projet'!$A$114&gt;35,BY58+BX59-CG58,IF(A59&lt;'Données projet'!$A$114,$BV$205^A59,IF(A59='Données projet'!$A$114,'Données projet'!$B$114,BY58+BX59-CG58)))</f>
        <v>235.39999999999998</v>
      </c>
      <c r="BZ59" s="14">
        <f>BY59*VLOOKUP('Données projet'!$B$12,Paramètres!$A$1:$I$89,3,0)*VLOOKUP('Données projet'!$B$12,Paramètres!$A$1:$I$89,5,0)</f>
        <v>238.69559999999998</v>
      </c>
      <c r="CA59" s="14">
        <f t="shared" si="39"/>
        <v>58.158793514165929</v>
      </c>
      <c r="CB59" s="22">
        <f t="shared" si="10"/>
        <v>517.02140203717238</v>
      </c>
      <c r="CC59" s="60">
        <f t="shared" si="11"/>
        <v>810.35473537050575</v>
      </c>
      <c r="CD59" s="60">
        <f ca="1">AVERAGE(OFFSET($CC$3,0,0,'Données projet'!$E$12+1,1))-AVERAGE(OFFSET($H$3,0,0,'Données projet'!$E$12+1,1))</f>
        <v>587.74247372331615</v>
      </c>
      <c r="CE59" s="60">
        <f t="shared" si="40"/>
        <v>306.61893266146666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>
        <f>EXP(-LN(2)/35)*CK58+(1-EXP(-LN(2)/35))/(LN(2)/35)*CG59*CH59*VLOOKUP('Données projet'!$B$12,Paramètres!$A$1:$I$89,3,0)*0.475*44/12</f>
        <v>0</v>
      </c>
      <c r="CL59" s="23">
        <f>EXP(-LN(2)/25)*CL58+(1-EXP(-LN(2)/25))/(LN(2)/25)*Calculateur!CG59*Calculateur!CI59*VLOOKUP('Données projet'!$B$12,Paramètres!$A$1:$I$89,3,0)*0.475*44/12</f>
        <v>0</v>
      </c>
      <c r="CM59" s="23">
        <f>EXP(-LN(2)/2)*CM58+(1-EXP(-LN(2)/2))/(LN(2)/2)*CG59*CJ59*VLOOKUP('Données projet'!$B$12,Paramètres!$A$1:$I$89,3,0)*0.475*44/12</f>
        <v>0</v>
      </c>
      <c r="CN59" s="24">
        <f t="shared" si="12"/>
        <v>0</v>
      </c>
      <c r="CO59" s="77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9.4</v>
      </c>
      <c r="CT59" s="13">
        <f>IF('Données projet'!$A$140&gt;35,CT58+CS59-DB58,IF(A59&lt;'Données projet'!$A$140,$CQ$205^A59,IF(A59='Données projet'!$A$140,'Données projet'!$B$140,CT58+CS59-DB58)))</f>
        <v>235.39999999999998</v>
      </c>
      <c r="CU59" s="18">
        <f>CT59*VLOOKUP('Données projet'!$B$13,Paramètres!$A$1:$I$89,3,0)*VLOOKUP('Données projet'!$B$13,Paramètres!$A$1:$I$89,5,0)</f>
        <v>253.38455999999994</v>
      </c>
      <c r="CV59" s="14">
        <f t="shared" si="41"/>
        <v>61.310125241957316</v>
      </c>
      <c r="CW59" s="22">
        <f t="shared" si="13"/>
        <v>548.09324346307551</v>
      </c>
      <c r="CX59" s="60">
        <f t="shared" si="14"/>
        <v>841.42657679640888</v>
      </c>
      <c r="CY59" s="60">
        <f ca="1">AVERAGE(OFFSET($CX$3,0,0,'Données projet'!$E$13+1,1))-AVERAGE(OFFSET($H$3,0,0,'Données projet'!$E$13+1,1))</f>
        <v>621.10465023992288</v>
      </c>
      <c r="CZ59" s="60">
        <f t="shared" si="42"/>
        <v>322.81767004794284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>
        <f>EXP(-LN(2)/35)*DF58+(1-EXP(-LN(2)/35))/(LN(2)/35)*DB59*DC59*VLOOKUP('Données projet'!$B$13,Paramètres!$A$1:$I$89,3,0)*0.475*44/12</f>
        <v>0</v>
      </c>
      <c r="DG59" s="23">
        <f>EXP(-LN(2)/25)*DG58+(1-EXP(-LN(2)/25))/(LN(2)/25)*Calculateur!DB59*Calculateur!DD59*VLOOKUP('Données projet'!$B$13,Paramètres!$A$1:$I$89,3,0)*0.475*44/12</f>
        <v>0</v>
      </c>
      <c r="DH59" s="23">
        <f>EXP(-LN(2)/2)*DH58+(1-EXP(-LN(2)/2))/(LN(2)/2)*DB59*DE59*VLOOKUP('Données projet'!$B$13,Paramètres!$A$1:$I$89,3,0)*0.475*44/12</f>
        <v>0</v>
      </c>
      <c r="DI59" s="24">
        <f t="shared" si="15"/>
        <v>0</v>
      </c>
      <c r="DJ59" s="77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9.4</v>
      </c>
      <c r="DO59" s="13">
        <f>IF('Données projet'!$A$166&gt;35,DO58+DN59-DW58,IF(A59&lt;'Données projet'!$A$166,$DL$205^A59,IF(A59='Données projet'!$A$166,'Données projet'!$B$166,DO58+DN59-DW58)))</f>
        <v>235.39999999999998</v>
      </c>
      <c r="DP59" s="18">
        <f>DO59*VLOOKUP('Données projet'!$B$14,Paramètres!$A$1:$I$89,3,0)*VLOOKUP('Données projet'!$B$14,Paramètres!$A$1:$I$89,5,0)</f>
        <v>227.67887999999996</v>
      </c>
      <c r="DQ59" s="14">
        <f t="shared" si="43"/>
        <v>55.780505229774469</v>
      </c>
      <c r="DR59" s="22">
        <f t="shared" si="16"/>
        <v>493.69176260852379</v>
      </c>
      <c r="DS59" s="60">
        <f t="shared" si="17"/>
        <v>787.0250959418571</v>
      </c>
      <c r="DT59" s="60">
        <f ca="1">AVERAGE(OFFSET($DS$3,0,0,'Données projet'!$E$14+1,1))-AVERAGE(OFFSET($H$3,0,0,'Données projet'!$E$14+1,1))</f>
        <v>562.69380557620775</v>
      </c>
      <c r="DU59" s="60">
        <f t="shared" si="44"/>
        <v>294.45557293177131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>
        <f>EXP(-LN(2)/35)*EA58+(1-EXP(-LN(2)/35))/(LN(2)/35)*DW59*DX59*VLOOKUP('Données projet'!$B$14,Paramètres!$A$1:$I$89,3,0)*0.475*44/12</f>
        <v>0</v>
      </c>
      <c r="EB59" s="23">
        <f>EXP(-LN(2)/25)*EB58+(1-EXP(-LN(2)/25))/(LN(2)/25)*Calculateur!DW59*Calculateur!DY59*VLOOKUP('Données projet'!$B$14,Paramètres!$A$1:$I$89,3,0)*0.475*44/12</f>
        <v>0</v>
      </c>
      <c r="EC59" s="23">
        <f>EXP(-LN(2)/2)*EC58+(1-EXP(-LN(2)/2))/(LN(2)/2)*DW59*DZ59*VLOOKUP('Données projet'!$B$14,Paramètres!$A$1:$I$89,3,0)*0.475*44/12</f>
        <v>0</v>
      </c>
      <c r="ED59" s="24">
        <f t="shared" si="18"/>
        <v>0</v>
      </c>
      <c r="EE59" s="77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9.375</v>
      </c>
      <c r="EJ59" s="13">
        <f>IF('Données projet'!$A$192&gt;35,EJ58+EI59-ER58,IF(A59&lt;'Données projet'!$A$192,$EG$205^A59,IF(A59='Données projet'!$A$192,'Données projet'!$B$192,EJ58+EI59-ER58)))</f>
        <v>259.49999999999994</v>
      </c>
      <c r="EK59" s="18">
        <f>EJ59*VLOOKUP('Données projet'!$B$15,Paramètres!$A$1:$I$89,3,0)*VLOOKUP('Données projet'!$B$15,Paramètres!$A$1:$I$89,5,0)</f>
        <v>202.40999999999997</v>
      </c>
      <c r="EL59" s="14">
        <f t="shared" si="45"/>
        <v>50.273442991661867</v>
      </c>
      <c r="EM59" s="22">
        <f t="shared" si="19"/>
        <v>440.09032987714431</v>
      </c>
      <c r="EN59" s="60">
        <f t="shared" si="20"/>
        <v>733.42366321047757</v>
      </c>
      <c r="EO59" s="60">
        <f ca="1">AVERAGE(OFFSET($EN$3,0,0,'Données projet'!$E$15+1,1))-AVERAGE(OFFSET($H$3,0,0,'Données projet'!$E$15+1,1))</f>
        <v>292.57482726862594</v>
      </c>
      <c r="EP59" s="60">
        <f t="shared" si="46"/>
        <v>283.48738729114024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>
        <f>EXP(-LN(2)/35)*EV58+(1-EXP(-LN(2)/35))/(LN(2)/35)*ER59*ES59*VLOOKUP('Données projet'!$B$15,Paramètres!$A$1:$I$89,3,0)*0.475*44/12</f>
        <v>0</v>
      </c>
      <c r="EW59" s="23">
        <f>EXP(-LN(2)/25)*EW58+(1-EXP(-LN(2)/25))/(LN(2)/25)*Calculateur!ER59*Calculateur!ET59*VLOOKUP('Données projet'!$B$15,Paramètres!$A$1:$I$89,3,0)*0.475*44/12</f>
        <v>0</v>
      </c>
      <c r="EX59" s="23">
        <f>EXP(-LN(2)/2)*EX58+(1-EXP(-LN(2)/2))/(LN(2)/2)*ER59*EU59*VLOOKUP('Données projet'!$B$15,Paramètres!$A$1:$I$89,3,0)*0.475*44/12</f>
        <v>0</v>
      </c>
      <c r="EY59" s="24">
        <f t="shared" si="21"/>
        <v>0</v>
      </c>
      <c r="EZ59" s="77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0" t="e">
        <f t="shared" si="23"/>
        <v>#N/A</v>
      </c>
      <c r="FJ59" s="60" t="e">
        <f ca="1">AVERAGE(OFFSET($FI$3,0,0,'Données projet'!$E$16+1,1))-AVERAGE(OFFSET($H$3,0,0,'Données projet'!$E$16+1,1))</f>
        <v>#N/A</v>
      </c>
      <c r="FK59" s="60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77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0" t="e">
        <f t="shared" si="26"/>
        <v>#N/A</v>
      </c>
      <c r="GE59" s="60" t="e">
        <f ca="1">AVERAGE(OFFSET($GD$3,0,0,'Données projet'!$E$17+1,1))-AVERAGE(OFFSET($H$3,0,0,'Données projet'!$E$17+1,1))</f>
        <v>#N/A</v>
      </c>
      <c r="GF59" s="60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77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0" t="e">
        <f t="shared" si="29"/>
        <v>#N/A</v>
      </c>
      <c r="GZ59" s="60" t="e">
        <f ca="1">AVERAGE(OFFSET($GY$3,0,0,'Données projet'!$E$18+1,1))-AVERAGE(OFFSET($H$3,0,0,'Données projet'!$E$18+1,1))</f>
        <v>#N/A</v>
      </c>
      <c r="HA59" s="60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25">
      <c r="A60" s="11">
        <f t="shared" si="31"/>
        <v>57</v>
      </c>
      <c r="B60" s="74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2">
        <f t="shared" si="32"/>
        <v>0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0</v>
      </c>
      <c r="H60" s="67">
        <f t="shared" si="1"/>
        <v>256.66666666666669</v>
      </c>
      <c r="I60" s="7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5.3846153846153868</v>
      </c>
      <c r="N60" s="14">
        <f>IF('Données projet'!$A$36&gt;35,N59+M60-V59,IF(A60&lt;'Données projet'!$A$36,$K$205^A60,IF(A60='Données projet'!$A$36,'Données projet'!$B$36,N59+M60-V59)))</f>
        <v>208.84615384615375</v>
      </c>
      <c r="O60" s="14">
        <f>N60*VLOOKUP('Données projet'!$B$9,Paramètres!$A$1:$I$89,3,0)*VLOOKUP('Données projet'!$B$9,Paramètres!$A$1:$I$89,5,0)</f>
        <v>198.73799999999991</v>
      </c>
      <c r="P60" s="14">
        <f t="shared" si="33"/>
        <v>49.466716228002042</v>
      </c>
      <c r="Q60" s="22">
        <f t="shared" si="53"/>
        <v>432.28988076377004</v>
      </c>
      <c r="R60" s="60">
        <f t="shared" si="0"/>
        <v>725.6232140971033</v>
      </c>
      <c r="S60" s="60">
        <f ca="1">AVERAGE(OFFSET($R$3,0,0,'Données projet'!$E$9+1,1))-AVERAGE(OFFSET($H$3,0,0,'Données projet'!$E$9+1,1))</f>
        <v>403.49781966317852</v>
      </c>
      <c r="T60" s="60">
        <f t="shared" si="34"/>
        <v>326.06674572505409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0</v>
      </c>
      <c r="AA60" s="23">
        <f>EXP(-LN(2)/25)*AA59+(1-EXP(-LN(2)/25))/(LN(2)/25)*Calculateur!V60*Calculateur!X60*VLOOKUP('Données projet'!$B$9,Paramètres!$A$1:$I$89,3,0)*0.475*44/12</f>
        <v>0</v>
      </c>
      <c r="AB60" s="23">
        <f>EXP(-LN(2)/2)*AB59+(1-EXP(-LN(2)/2))/(LN(2)/2)*V60*Y60*VLOOKUP('Données projet'!$B$9,Paramètres!$A$1:$I$89,3,0)*0.475*44/12</f>
        <v>0</v>
      </c>
      <c r="AC60" s="24">
        <f t="shared" si="3"/>
        <v>0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4.2</v>
      </c>
      <c r="AI60" s="14">
        <f>IF('Données projet'!$A$62&gt;35,AI59+AH60-AQ59,IF(A60&lt;'Données projet'!$A$62,$AF$205^A60,IF(A60='Données projet'!$A$62,'Données projet'!$B$62,AI59+AH60-AQ59)))</f>
        <v>182.39999999999998</v>
      </c>
      <c r="AJ60" s="14">
        <f>AI60*VLOOKUP('Données projet'!$B$10,Paramètres!$A$1:$I$89,3,0)*VLOOKUP('Données projet'!$B$10,Paramètres!$A$1:$I$89,5,0)</f>
        <v>159.34464</v>
      </c>
      <c r="AK60" s="14">
        <f t="shared" si="35"/>
        <v>40.694661837553809</v>
      </c>
      <c r="AL60" s="22">
        <f t="shared" si="4"/>
        <v>348.40178403373949</v>
      </c>
      <c r="AM60" s="60">
        <f t="shared" si="5"/>
        <v>641.7351173670728</v>
      </c>
      <c r="AN60" s="60">
        <f ca="1">AVERAGE(OFFSET($AM$3,0,0,'Données projet'!$E$10+1,1))-AVERAGE(OFFSET($H$3,0,0,'Données projet'!$E$10+1,1))</f>
        <v>274.66236526869056</v>
      </c>
      <c r="AO60" s="60">
        <f t="shared" si="36"/>
        <v>256.90876395053073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>
        <f>EXP(-LN(2)/35)*AU59+(1-EXP(-LN(2)/35))/(LN(2)/35)*AQ60*AR60*VLOOKUP('Données projet'!$B$10,Paramètres!$A$1:$I$89,3,0)*0.475*44/12</f>
        <v>0</v>
      </c>
      <c r="AV60" s="23">
        <f>EXP(-LN(2)/25)*AV59+(1-EXP(-LN(2)/25))/(LN(2)/25)*Calculateur!AQ60*Calculateur!AS60*VLOOKUP('Données projet'!$B$10,Paramètres!$A$1:$I$89,3,0)*0.475*44/12</f>
        <v>0</v>
      </c>
      <c r="AW60" s="23">
        <f>EXP(-LN(2)/2)*AW59+(1-EXP(-LN(2)/2))/(LN(2)/2)*AQ60*AT60*VLOOKUP('Données projet'!$B$10,Paramètres!$A$1:$I$89,3,0)*0.475*44/12</f>
        <v>0</v>
      </c>
      <c r="AX60" s="23">
        <f t="shared" si="6"/>
        <v>0</v>
      </c>
      <c r="AY60" s="76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9.4</v>
      </c>
      <c r="BD60" s="13">
        <f>IF('Données projet'!$A$88&gt;35,BD59+BC60-BL59,IF(A60&lt;'Données projet'!$A$88,$BA$205^A60,IF(A60='Données projet'!$A$88,'Données projet'!$B$88,BD59+BC60-BL59)))</f>
        <v>244.79999999999998</v>
      </c>
      <c r="BE60" s="14">
        <f>BD60*VLOOKUP('Données projet'!$B$11,Paramètres!$A$1:$I$89,3,0)*VLOOKUP('Données projet'!$B$11,Paramètres!$A$1:$I$89,5,0)</f>
        <v>221.49503999999999</v>
      </c>
      <c r="BF60" s="14">
        <f t="shared" si="37"/>
        <v>54.439697086174412</v>
      </c>
      <c r="BG60" s="22">
        <f t="shared" si="7"/>
        <v>480.58633375842032</v>
      </c>
      <c r="BH60" s="60">
        <f t="shared" si="8"/>
        <v>773.91966709175358</v>
      </c>
      <c r="BI60" s="60">
        <f ca="1">AVERAGE(OFFSET($BH$3,0,0,'Données projet'!$E$11+1,1))-AVERAGE(OFFSET($H$3,0,0,'Données projet'!$E$11+1,1))</f>
        <v>529.25712986118265</v>
      </c>
      <c r="BJ60" s="60">
        <f t="shared" si="38"/>
        <v>278.21741231699929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>
        <f>EXP(-LN(2)/35)*BP59+(1-EXP(-LN(2)/35))/(LN(2)/35)*BL60*BM60*VLOOKUP('Données projet'!$B$11,Paramètres!$A$1:$I$89,3,0)*0.475*44/12</f>
        <v>0</v>
      </c>
      <c r="BQ60" s="23">
        <f>EXP(-LN(2)/25)*BQ59+(1-EXP(-LN(2)/25))/(LN(2)/25)*Calculateur!BL60*Calculateur!BN60*VLOOKUP('Données projet'!$B$11,Paramètres!$A$1:$I$89,3,0)*0.475*44/12</f>
        <v>0</v>
      </c>
      <c r="BR60" s="23">
        <f>EXP(-LN(2)/2)*BR59+(1-EXP(-LN(2)/2))/(LN(2)/2)*BL60*BO60*VLOOKUP('Données projet'!$B$11,Paramètres!$A$1:$I$89,3,0)*0.475*44/12</f>
        <v>0</v>
      </c>
      <c r="BS60" s="24">
        <f t="shared" si="9"/>
        <v>0</v>
      </c>
      <c r="BT60" s="77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9.4</v>
      </c>
      <c r="BY60" s="13">
        <f>IF('Données projet'!$A$114&gt;35,BY59+BX60-CG59,IF(A60&lt;'Données projet'!$A$114,$BV$205^A60,IF(A60='Données projet'!$A$114,'Données projet'!$B$114,BY59+BX60-CG59)))</f>
        <v>244.79999999999998</v>
      </c>
      <c r="BZ60" s="14">
        <f>BY60*VLOOKUP('Données projet'!$B$12,Paramètres!$A$1:$I$89,3,0)*VLOOKUP('Données projet'!$B$12,Paramètres!$A$1:$I$89,5,0)</f>
        <v>248.22720000000001</v>
      </c>
      <c r="CA60" s="14">
        <f t="shared" si="39"/>
        <v>60.20616532763993</v>
      </c>
      <c r="CB60" s="22">
        <f t="shared" si="10"/>
        <v>537.18811127897277</v>
      </c>
      <c r="CC60" s="60">
        <f t="shared" si="11"/>
        <v>830.52144461230614</v>
      </c>
      <c r="CD60" s="60">
        <f ca="1">AVERAGE(OFFSET($CC$3,0,0,'Données projet'!$E$12+1,1))-AVERAGE(OFFSET($H$3,0,0,'Données projet'!$E$12+1,1))</f>
        <v>587.74247372331615</v>
      </c>
      <c r="CE60" s="60">
        <f t="shared" si="40"/>
        <v>306.61893266146666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>
        <f>EXP(-LN(2)/35)*CK59+(1-EXP(-LN(2)/35))/(LN(2)/35)*CG60*CH60*VLOOKUP('Données projet'!$B$12,Paramètres!$A$1:$I$89,3,0)*0.475*44/12</f>
        <v>0</v>
      </c>
      <c r="CL60" s="23">
        <f>EXP(-LN(2)/25)*CL59+(1-EXP(-LN(2)/25))/(LN(2)/25)*Calculateur!CG60*Calculateur!CI60*VLOOKUP('Données projet'!$B$12,Paramètres!$A$1:$I$89,3,0)*0.475*44/12</f>
        <v>0</v>
      </c>
      <c r="CM60" s="23">
        <f>EXP(-LN(2)/2)*CM59+(1-EXP(-LN(2)/2))/(LN(2)/2)*CG60*CJ60*VLOOKUP('Données projet'!$B$12,Paramètres!$A$1:$I$89,3,0)*0.475*44/12</f>
        <v>0</v>
      </c>
      <c r="CN60" s="24">
        <f t="shared" si="12"/>
        <v>0</v>
      </c>
      <c r="CO60" s="77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9.4</v>
      </c>
      <c r="CT60" s="13">
        <f>IF('Données projet'!$A$140&gt;35,CT59+CS60-DB59,IF(A60&lt;'Données projet'!$A$140,$CQ$205^A60,IF(A60='Données projet'!$A$140,'Données projet'!$B$140,CT59+CS60-DB59)))</f>
        <v>244.79999999999998</v>
      </c>
      <c r="CU60" s="18">
        <f>CT60*VLOOKUP('Données projet'!$B$13,Paramètres!$A$1:$I$89,3,0)*VLOOKUP('Données projet'!$B$13,Paramètres!$A$1:$I$89,5,0)</f>
        <v>263.50271999999995</v>
      </c>
      <c r="CV60" s="14">
        <f t="shared" si="41"/>
        <v>63.468433809179686</v>
      </c>
      <c r="CW60" s="22">
        <f t="shared" si="13"/>
        <v>569.47475955098787</v>
      </c>
      <c r="CX60" s="60">
        <f t="shared" si="14"/>
        <v>862.80809288432124</v>
      </c>
      <c r="CY60" s="60">
        <f ca="1">AVERAGE(OFFSET($CX$3,0,0,'Données projet'!$E$13+1,1))-AVERAGE(OFFSET($H$3,0,0,'Données projet'!$E$13+1,1))</f>
        <v>621.10465023992288</v>
      </c>
      <c r="CZ60" s="60">
        <f t="shared" si="42"/>
        <v>322.81767004794284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>
        <f>EXP(-LN(2)/35)*DF59+(1-EXP(-LN(2)/35))/(LN(2)/35)*DB60*DC60*VLOOKUP('Données projet'!$B$13,Paramètres!$A$1:$I$89,3,0)*0.475*44/12</f>
        <v>0</v>
      </c>
      <c r="DG60" s="23">
        <f>EXP(-LN(2)/25)*DG59+(1-EXP(-LN(2)/25))/(LN(2)/25)*Calculateur!DB60*Calculateur!DD60*VLOOKUP('Données projet'!$B$13,Paramètres!$A$1:$I$89,3,0)*0.475*44/12</f>
        <v>0</v>
      </c>
      <c r="DH60" s="23">
        <f>EXP(-LN(2)/2)*DH59+(1-EXP(-LN(2)/2))/(LN(2)/2)*DB60*DE60*VLOOKUP('Données projet'!$B$13,Paramètres!$A$1:$I$89,3,0)*0.475*44/12</f>
        <v>0</v>
      </c>
      <c r="DI60" s="24">
        <f t="shared" si="15"/>
        <v>0</v>
      </c>
      <c r="DJ60" s="77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9.4</v>
      </c>
      <c r="DO60" s="13">
        <f>IF('Données projet'!$A$166&gt;35,DO59+DN60-DW59,IF(A60&lt;'Données projet'!$A$166,$DL$205^A60,IF(A60='Données projet'!$A$166,'Données projet'!$B$166,DO59+DN60-DW59)))</f>
        <v>244.79999999999998</v>
      </c>
      <c r="DP60" s="18">
        <f>DO60*VLOOKUP('Données projet'!$B$14,Paramètres!$A$1:$I$89,3,0)*VLOOKUP('Données projet'!$B$14,Paramètres!$A$1:$I$89,5,0)</f>
        <v>236.77055999999999</v>
      </c>
      <c r="DQ60" s="14">
        <f t="shared" si="43"/>
        <v>57.744153841586929</v>
      </c>
      <c r="DR60" s="22">
        <f t="shared" si="16"/>
        <v>512.94645994076382</v>
      </c>
      <c r="DS60" s="60">
        <f t="shared" si="17"/>
        <v>806.27979327409707</v>
      </c>
      <c r="DT60" s="60">
        <f ca="1">AVERAGE(OFFSET($DS$3,0,0,'Données projet'!$E$14+1,1))-AVERAGE(OFFSET($H$3,0,0,'Données projet'!$E$14+1,1))</f>
        <v>562.69380557620775</v>
      </c>
      <c r="DU60" s="60">
        <f t="shared" si="44"/>
        <v>294.45557293177131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>
        <f>EXP(-LN(2)/35)*EA59+(1-EXP(-LN(2)/35))/(LN(2)/35)*DW60*DX60*VLOOKUP('Données projet'!$B$14,Paramètres!$A$1:$I$89,3,0)*0.475*44/12</f>
        <v>0</v>
      </c>
      <c r="EB60" s="23">
        <f>EXP(-LN(2)/25)*EB59+(1-EXP(-LN(2)/25))/(LN(2)/25)*Calculateur!DW60*Calculateur!DY60*VLOOKUP('Données projet'!$B$14,Paramètres!$A$1:$I$89,3,0)*0.475*44/12</f>
        <v>0</v>
      </c>
      <c r="EC60" s="23">
        <f>EXP(-LN(2)/2)*EC59+(1-EXP(-LN(2)/2))/(LN(2)/2)*DW60*DZ60*VLOOKUP('Données projet'!$B$14,Paramètres!$A$1:$I$89,3,0)*0.475*44/12</f>
        <v>0</v>
      </c>
      <c r="ED60" s="24">
        <f t="shared" si="18"/>
        <v>0</v>
      </c>
      <c r="EE60" s="77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9.375</v>
      </c>
      <c r="EJ60" s="13">
        <f>IF('Données projet'!$A$192&gt;35,EJ59+EI60-ER59,IF(A60&lt;'Données projet'!$A$192,$EG$205^A60,IF(A60='Données projet'!$A$192,'Données projet'!$B$192,EJ59+EI60-ER59)))</f>
        <v>268.87499999999994</v>
      </c>
      <c r="EK60" s="18">
        <f>EJ60*VLOOKUP('Données projet'!$B$15,Paramètres!$A$1:$I$89,3,0)*VLOOKUP('Données projet'!$B$15,Paramètres!$A$1:$I$89,5,0)</f>
        <v>209.72249999999997</v>
      </c>
      <c r="EL60" s="14">
        <f t="shared" si="45"/>
        <v>51.874940300502296</v>
      </c>
      <c r="EM60" s="22">
        <f t="shared" si="19"/>
        <v>455.61554185670815</v>
      </c>
      <c r="EN60" s="60">
        <f t="shared" si="20"/>
        <v>748.94887519004146</v>
      </c>
      <c r="EO60" s="60">
        <f ca="1">AVERAGE(OFFSET($EN$3,0,0,'Données projet'!$E$15+1,1))-AVERAGE(OFFSET($H$3,0,0,'Données projet'!$E$15+1,1))</f>
        <v>292.57482726862594</v>
      </c>
      <c r="EP60" s="60">
        <f t="shared" si="46"/>
        <v>283.48738729114024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>
        <f>EXP(-LN(2)/35)*EV59+(1-EXP(-LN(2)/35))/(LN(2)/35)*ER60*ES60*VLOOKUP('Données projet'!$B$15,Paramètres!$A$1:$I$89,3,0)*0.475*44/12</f>
        <v>0</v>
      </c>
      <c r="EW60" s="23">
        <f>EXP(-LN(2)/25)*EW59+(1-EXP(-LN(2)/25))/(LN(2)/25)*Calculateur!ER60*Calculateur!ET60*VLOOKUP('Données projet'!$B$15,Paramètres!$A$1:$I$89,3,0)*0.475*44/12</f>
        <v>0</v>
      </c>
      <c r="EX60" s="23">
        <f>EXP(-LN(2)/2)*EX59+(1-EXP(-LN(2)/2))/(LN(2)/2)*ER60*EU60*VLOOKUP('Données projet'!$B$15,Paramètres!$A$1:$I$89,3,0)*0.475*44/12</f>
        <v>0</v>
      </c>
      <c r="EY60" s="24">
        <f t="shared" si="21"/>
        <v>0</v>
      </c>
      <c r="EZ60" s="77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0" t="e">
        <f t="shared" si="23"/>
        <v>#N/A</v>
      </c>
      <c r="FJ60" s="60" t="e">
        <f ca="1">AVERAGE(OFFSET($FI$3,0,0,'Données projet'!$E$16+1,1))-AVERAGE(OFFSET($H$3,0,0,'Données projet'!$E$16+1,1))</f>
        <v>#N/A</v>
      </c>
      <c r="FK60" s="60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77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0" t="e">
        <f t="shared" si="26"/>
        <v>#N/A</v>
      </c>
      <c r="GE60" s="60" t="e">
        <f ca="1">AVERAGE(OFFSET($GD$3,0,0,'Données projet'!$E$17+1,1))-AVERAGE(OFFSET($H$3,0,0,'Données projet'!$E$17+1,1))</f>
        <v>#N/A</v>
      </c>
      <c r="GF60" s="60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77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0" t="e">
        <f t="shared" si="29"/>
        <v>#N/A</v>
      </c>
      <c r="GZ60" s="60" t="e">
        <f ca="1">AVERAGE(OFFSET($GY$3,0,0,'Données projet'!$E$18+1,1))-AVERAGE(OFFSET($H$3,0,0,'Données projet'!$E$18+1,1))</f>
        <v>#N/A</v>
      </c>
      <c r="HA60" s="60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25">
      <c r="A61" s="11">
        <f t="shared" si="31"/>
        <v>58</v>
      </c>
      <c r="B61" s="74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2">
        <f t="shared" si="32"/>
        <v>0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0</v>
      </c>
      <c r="H61" s="67">
        <f t="shared" si="1"/>
        <v>256.66666666666669</v>
      </c>
      <c r="I61" s="7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5.3846153846153868</v>
      </c>
      <c r="N61" s="14">
        <f>IF('Données projet'!$A$36&gt;35,N60+M61-V60,IF(A61&lt;'Données projet'!$A$36,$K$205^A61,IF(A61='Données projet'!$A$36,'Données projet'!$B$36,N60+M61-V60)))</f>
        <v>214.23076923076914</v>
      </c>
      <c r="O61" s="14">
        <f>N61*VLOOKUP('Données projet'!$B$9,Paramètres!$A$1:$I$89,3,0)*VLOOKUP('Données projet'!$B$9,Paramètres!$A$1:$I$89,5,0)</f>
        <v>203.86199999999994</v>
      </c>
      <c r="P61" s="14">
        <f t="shared" si="33"/>
        <v>50.591971357727658</v>
      </c>
      <c r="Q61" s="22">
        <f t="shared" si="53"/>
        <v>443.17400011470886</v>
      </c>
      <c r="R61" s="60">
        <f t="shared" si="0"/>
        <v>736.50733344804212</v>
      </c>
      <c r="S61" s="60">
        <f ca="1">AVERAGE(OFFSET($R$3,0,0,'Données projet'!$E$9+1,1))-AVERAGE(OFFSET($H$3,0,0,'Données projet'!$E$9+1,1))</f>
        <v>403.49781966317852</v>
      </c>
      <c r="T61" s="60">
        <f t="shared" si="34"/>
        <v>326.06674572505409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0</v>
      </c>
      <c r="AA61" s="23">
        <f>EXP(-LN(2)/25)*AA60+(1-EXP(-LN(2)/25))/(LN(2)/25)*Calculateur!V61*Calculateur!X61*VLOOKUP('Données projet'!$B$9,Paramètres!$A$1:$I$89,3,0)*0.475*44/12</f>
        <v>0</v>
      </c>
      <c r="AB61" s="23">
        <f>EXP(-LN(2)/2)*AB60+(1-EXP(-LN(2)/2))/(LN(2)/2)*V61*Y61*VLOOKUP('Données projet'!$B$9,Paramètres!$A$1:$I$89,3,0)*0.475*44/12</f>
        <v>0</v>
      </c>
      <c r="AC61" s="24">
        <f t="shared" si="3"/>
        <v>0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4.2</v>
      </c>
      <c r="AI61" s="14">
        <f>IF('Données projet'!$A$62&gt;35,AI60+AH61-AQ60,IF(A61&lt;'Données projet'!$A$62,$AF$205^A61,IF(A61='Données projet'!$A$62,'Données projet'!$B$62,AI60+AH61-AQ60)))</f>
        <v>186.59999999999997</v>
      </c>
      <c r="AJ61" s="14">
        <f>AI61*VLOOKUP('Données projet'!$B$10,Paramètres!$A$1:$I$89,3,0)*VLOOKUP('Données projet'!$B$10,Paramètres!$A$1:$I$89,5,0)</f>
        <v>163.01375999999999</v>
      </c>
      <c r="AK61" s="14">
        <f t="shared" si="35"/>
        <v>41.521537366475364</v>
      </c>
      <c r="AL61" s="22">
        <f t="shared" si="4"/>
        <v>356.23230957994457</v>
      </c>
      <c r="AM61" s="60">
        <f t="shared" si="5"/>
        <v>649.56564291327788</v>
      </c>
      <c r="AN61" s="60">
        <f ca="1">AVERAGE(OFFSET($AM$3,0,0,'Données projet'!$E$10+1,1))-AVERAGE(OFFSET($H$3,0,0,'Données projet'!$E$10+1,1))</f>
        <v>274.66236526869056</v>
      </c>
      <c r="AO61" s="60">
        <f t="shared" si="36"/>
        <v>256.90876395053073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>
        <f>EXP(-LN(2)/35)*AU60+(1-EXP(-LN(2)/35))/(LN(2)/35)*AQ61*AR61*VLOOKUP('Données projet'!$B$10,Paramètres!$A$1:$I$89,3,0)*0.475*44/12</f>
        <v>0</v>
      </c>
      <c r="AV61" s="23">
        <f>EXP(-LN(2)/25)*AV60+(1-EXP(-LN(2)/25))/(LN(2)/25)*Calculateur!AQ61*Calculateur!AS61*VLOOKUP('Données projet'!$B$10,Paramètres!$A$1:$I$89,3,0)*0.475*44/12</f>
        <v>0</v>
      </c>
      <c r="AW61" s="23">
        <f>EXP(-LN(2)/2)*AW60+(1-EXP(-LN(2)/2))/(LN(2)/2)*AQ61*AT61*VLOOKUP('Données projet'!$B$10,Paramètres!$A$1:$I$89,3,0)*0.475*44/12</f>
        <v>0</v>
      </c>
      <c r="AX61" s="23">
        <f t="shared" si="6"/>
        <v>0</v>
      </c>
      <c r="AY61" s="76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9.4</v>
      </c>
      <c r="BD61" s="13">
        <f>IF('Données projet'!$A$88&gt;35,BD60+BC61-BL60,IF(A61&lt;'Données projet'!$A$88,$BA$205^A61,IF(A61='Données projet'!$A$88,'Données projet'!$B$88,BD60+BC61-BL60)))</f>
        <v>254.2</v>
      </c>
      <c r="BE61" s="14">
        <f>BD61*VLOOKUP('Données projet'!$B$11,Paramètres!$A$1:$I$89,3,0)*VLOOKUP('Données projet'!$B$11,Paramètres!$A$1:$I$89,5,0)</f>
        <v>230.00015999999997</v>
      </c>
      <c r="BF61" s="14">
        <f t="shared" si="37"/>
        <v>56.282716126880423</v>
      </c>
      <c r="BG61" s="22">
        <f t="shared" si="7"/>
        <v>498.60934258765002</v>
      </c>
      <c r="BH61" s="60">
        <f t="shared" si="8"/>
        <v>791.94267592098333</v>
      </c>
      <c r="BI61" s="60">
        <f ca="1">AVERAGE(OFFSET($BH$3,0,0,'Données projet'!$E$11+1,1))-AVERAGE(OFFSET($H$3,0,0,'Données projet'!$E$11+1,1))</f>
        <v>529.25712986118265</v>
      </c>
      <c r="BJ61" s="60">
        <f t="shared" si="38"/>
        <v>278.21741231699929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>
        <f>EXP(-LN(2)/35)*BP60+(1-EXP(-LN(2)/35))/(LN(2)/35)*BL61*BM61*VLOOKUP('Données projet'!$B$11,Paramètres!$A$1:$I$89,3,0)*0.475*44/12</f>
        <v>0</v>
      </c>
      <c r="BQ61" s="23">
        <f>EXP(-LN(2)/25)*BQ60+(1-EXP(-LN(2)/25))/(LN(2)/25)*Calculateur!BL61*Calculateur!BN61*VLOOKUP('Données projet'!$B$11,Paramètres!$A$1:$I$89,3,0)*0.475*44/12</f>
        <v>0</v>
      </c>
      <c r="BR61" s="23">
        <f>EXP(-LN(2)/2)*BR60+(1-EXP(-LN(2)/2))/(LN(2)/2)*BL61*BO61*VLOOKUP('Données projet'!$B$11,Paramètres!$A$1:$I$89,3,0)*0.475*44/12</f>
        <v>0</v>
      </c>
      <c r="BS61" s="24">
        <f t="shared" si="9"/>
        <v>0</v>
      </c>
      <c r="BT61" s="77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9.4</v>
      </c>
      <c r="BY61" s="13">
        <f>IF('Données projet'!$A$114&gt;35,BY60+BX61-CG60,IF(A61&lt;'Données projet'!$A$114,$BV$205^A61,IF(A61='Données projet'!$A$114,'Données projet'!$B$114,BY60+BX61-CG60)))</f>
        <v>254.2</v>
      </c>
      <c r="BZ61" s="14">
        <f>BY61*VLOOKUP('Données projet'!$B$12,Paramètres!$A$1:$I$89,3,0)*VLOOKUP('Données projet'!$B$12,Paramètres!$A$1:$I$89,5,0)</f>
        <v>257.75880000000001</v>
      </c>
      <c r="CA61" s="14">
        <f t="shared" si="39"/>
        <v>62.244404241627407</v>
      </c>
      <c r="CB61" s="22">
        <f t="shared" si="10"/>
        <v>557.33891405416773</v>
      </c>
      <c r="CC61" s="60">
        <f t="shared" si="11"/>
        <v>850.6722473875011</v>
      </c>
      <c r="CD61" s="60">
        <f ca="1">AVERAGE(OFFSET($CC$3,0,0,'Données projet'!$E$12+1,1))-AVERAGE(OFFSET($H$3,0,0,'Données projet'!$E$12+1,1))</f>
        <v>587.74247372331615</v>
      </c>
      <c r="CE61" s="60">
        <f t="shared" si="40"/>
        <v>306.61893266146666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>
        <f>EXP(-LN(2)/35)*CK60+(1-EXP(-LN(2)/35))/(LN(2)/35)*CG61*CH61*VLOOKUP('Données projet'!$B$12,Paramètres!$A$1:$I$89,3,0)*0.475*44/12</f>
        <v>0</v>
      </c>
      <c r="CL61" s="23">
        <f>EXP(-LN(2)/25)*CL60+(1-EXP(-LN(2)/25))/(LN(2)/25)*Calculateur!CG61*Calculateur!CI61*VLOOKUP('Données projet'!$B$12,Paramètres!$A$1:$I$89,3,0)*0.475*44/12</f>
        <v>0</v>
      </c>
      <c r="CM61" s="23">
        <f>EXP(-LN(2)/2)*CM60+(1-EXP(-LN(2)/2))/(LN(2)/2)*CG61*CJ61*VLOOKUP('Données projet'!$B$12,Paramètres!$A$1:$I$89,3,0)*0.475*44/12</f>
        <v>0</v>
      </c>
      <c r="CN61" s="24">
        <f t="shared" si="12"/>
        <v>0</v>
      </c>
      <c r="CO61" s="77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9.4</v>
      </c>
      <c r="CT61" s="13">
        <f>IF('Données projet'!$A$140&gt;35,CT60+CS61-DB60,IF(A61&lt;'Données projet'!$A$140,$CQ$205^A61,IF(A61='Données projet'!$A$140,'Données projet'!$B$140,CT60+CS61-DB60)))</f>
        <v>254.2</v>
      </c>
      <c r="CU61" s="18">
        <f>CT61*VLOOKUP('Données projet'!$B$13,Paramètres!$A$1:$I$89,3,0)*VLOOKUP('Données projet'!$B$13,Paramètres!$A$1:$I$89,5,0)</f>
        <v>273.62087999999994</v>
      </c>
      <c r="CV61" s="14">
        <f t="shared" si="41"/>
        <v>65.617114611149361</v>
      </c>
      <c r="CW61" s="22">
        <f t="shared" si="13"/>
        <v>590.83950728108505</v>
      </c>
      <c r="CX61" s="60">
        <f t="shared" si="14"/>
        <v>884.17284061441842</v>
      </c>
      <c r="CY61" s="60">
        <f ca="1">AVERAGE(OFFSET($CX$3,0,0,'Données projet'!$E$13+1,1))-AVERAGE(OFFSET($H$3,0,0,'Données projet'!$E$13+1,1))</f>
        <v>621.10465023992288</v>
      </c>
      <c r="CZ61" s="60">
        <f t="shared" si="42"/>
        <v>322.81767004794284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>
        <f>EXP(-LN(2)/35)*DF60+(1-EXP(-LN(2)/35))/(LN(2)/35)*DB61*DC61*VLOOKUP('Données projet'!$B$13,Paramètres!$A$1:$I$89,3,0)*0.475*44/12</f>
        <v>0</v>
      </c>
      <c r="DG61" s="23">
        <f>EXP(-LN(2)/25)*DG60+(1-EXP(-LN(2)/25))/(LN(2)/25)*Calculateur!DB61*Calculateur!DD61*VLOOKUP('Données projet'!$B$13,Paramètres!$A$1:$I$89,3,0)*0.475*44/12</f>
        <v>0</v>
      </c>
      <c r="DH61" s="23">
        <f>EXP(-LN(2)/2)*DH60+(1-EXP(-LN(2)/2))/(LN(2)/2)*DB61*DE61*VLOOKUP('Données projet'!$B$13,Paramètres!$A$1:$I$89,3,0)*0.475*44/12</f>
        <v>0</v>
      </c>
      <c r="DI61" s="24">
        <f t="shared" si="15"/>
        <v>0</v>
      </c>
      <c r="DJ61" s="77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9.4</v>
      </c>
      <c r="DO61" s="13">
        <f>IF('Données projet'!$A$166&gt;35,DO60+DN61-DW60,IF(A61&lt;'Données projet'!$A$166,$DL$205^A61,IF(A61='Données projet'!$A$166,'Données projet'!$B$166,DO60+DN61-DW60)))</f>
        <v>254.2</v>
      </c>
      <c r="DP61" s="18">
        <f>DO61*VLOOKUP('Données projet'!$B$14,Paramètres!$A$1:$I$89,3,0)*VLOOKUP('Données projet'!$B$14,Paramètres!$A$1:$I$89,5,0)</f>
        <v>245.86223999999999</v>
      </c>
      <c r="DQ61" s="14">
        <f t="shared" si="43"/>
        <v>59.699043025687963</v>
      </c>
      <c r="DR61" s="22">
        <f t="shared" si="16"/>
        <v>532.18590126973982</v>
      </c>
      <c r="DS61" s="60">
        <f t="shared" si="17"/>
        <v>825.51923460307307</v>
      </c>
      <c r="DT61" s="60">
        <f ca="1">AVERAGE(OFFSET($DS$3,0,0,'Données projet'!$E$14+1,1))-AVERAGE(OFFSET($H$3,0,0,'Données projet'!$E$14+1,1))</f>
        <v>562.69380557620775</v>
      </c>
      <c r="DU61" s="60">
        <f t="shared" si="44"/>
        <v>294.45557293177131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>
        <f>EXP(-LN(2)/35)*EA60+(1-EXP(-LN(2)/35))/(LN(2)/35)*DW61*DX61*VLOOKUP('Données projet'!$B$14,Paramètres!$A$1:$I$89,3,0)*0.475*44/12</f>
        <v>0</v>
      </c>
      <c r="EB61" s="23">
        <f>EXP(-LN(2)/25)*EB60+(1-EXP(-LN(2)/25))/(LN(2)/25)*Calculateur!DW61*Calculateur!DY61*VLOOKUP('Données projet'!$B$14,Paramètres!$A$1:$I$89,3,0)*0.475*44/12</f>
        <v>0</v>
      </c>
      <c r="EC61" s="23">
        <f>EXP(-LN(2)/2)*EC60+(1-EXP(-LN(2)/2))/(LN(2)/2)*DW61*DZ61*VLOOKUP('Données projet'!$B$14,Paramètres!$A$1:$I$89,3,0)*0.475*44/12</f>
        <v>0</v>
      </c>
      <c r="ED61" s="24">
        <f t="shared" si="18"/>
        <v>0</v>
      </c>
      <c r="EE61" s="77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9.375</v>
      </c>
      <c r="EJ61" s="13">
        <f>IF('Données projet'!$A$192&gt;35,EJ60+EI61-ER60,IF(A61&lt;'Données projet'!$A$192,$EG$205^A61,IF(A61='Données projet'!$A$192,'Données projet'!$B$192,EJ60+EI61-ER60)))</f>
        <v>278.24999999999994</v>
      </c>
      <c r="EK61" s="18">
        <f>EJ61*VLOOKUP('Données projet'!$B$15,Paramètres!$A$1:$I$89,3,0)*VLOOKUP('Données projet'!$B$15,Paramètres!$A$1:$I$89,5,0)</f>
        <v>217.03499999999997</v>
      </c>
      <c r="EL61" s="14">
        <f t="shared" si="45"/>
        <v>53.469949591969474</v>
      </c>
      <c r="EM61" s="22">
        <f t="shared" si="19"/>
        <v>471.12945387268002</v>
      </c>
      <c r="EN61" s="60">
        <f t="shared" si="20"/>
        <v>764.46278720601333</v>
      </c>
      <c r="EO61" s="60">
        <f ca="1">AVERAGE(OFFSET($EN$3,0,0,'Données projet'!$E$15+1,1))-AVERAGE(OFFSET($H$3,0,0,'Données projet'!$E$15+1,1))</f>
        <v>292.57482726862594</v>
      </c>
      <c r="EP61" s="60">
        <f t="shared" si="46"/>
        <v>283.48738729114024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>
        <f>EXP(-LN(2)/35)*EV60+(1-EXP(-LN(2)/35))/(LN(2)/35)*ER61*ES61*VLOOKUP('Données projet'!$B$15,Paramètres!$A$1:$I$89,3,0)*0.475*44/12</f>
        <v>0</v>
      </c>
      <c r="EW61" s="23">
        <f>EXP(-LN(2)/25)*EW60+(1-EXP(-LN(2)/25))/(LN(2)/25)*Calculateur!ER61*Calculateur!ET61*VLOOKUP('Données projet'!$B$15,Paramètres!$A$1:$I$89,3,0)*0.475*44/12</f>
        <v>0</v>
      </c>
      <c r="EX61" s="23">
        <f>EXP(-LN(2)/2)*EX60+(1-EXP(-LN(2)/2))/(LN(2)/2)*ER61*EU61*VLOOKUP('Données projet'!$B$15,Paramètres!$A$1:$I$89,3,0)*0.475*44/12</f>
        <v>0</v>
      </c>
      <c r="EY61" s="24">
        <f t="shared" si="21"/>
        <v>0</v>
      </c>
      <c r="EZ61" s="77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0" t="e">
        <f t="shared" si="23"/>
        <v>#N/A</v>
      </c>
      <c r="FJ61" s="60" t="e">
        <f ca="1">AVERAGE(OFFSET($FI$3,0,0,'Données projet'!$E$16+1,1))-AVERAGE(OFFSET($H$3,0,0,'Données projet'!$E$16+1,1))</f>
        <v>#N/A</v>
      </c>
      <c r="FK61" s="60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77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0" t="e">
        <f t="shared" si="26"/>
        <v>#N/A</v>
      </c>
      <c r="GE61" s="60" t="e">
        <f ca="1">AVERAGE(OFFSET($GD$3,0,0,'Données projet'!$E$17+1,1))-AVERAGE(OFFSET($H$3,0,0,'Données projet'!$E$17+1,1))</f>
        <v>#N/A</v>
      </c>
      <c r="GF61" s="60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77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0" t="e">
        <f t="shared" si="29"/>
        <v>#N/A</v>
      </c>
      <c r="GZ61" s="60" t="e">
        <f ca="1">AVERAGE(OFFSET($GY$3,0,0,'Données projet'!$E$18+1,1))-AVERAGE(OFFSET($H$3,0,0,'Données projet'!$E$18+1,1))</f>
        <v>#N/A</v>
      </c>
      <c r="HA61" s="60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25">
      <c r="A62" s="11">
        <f t="shared" si="31"/>
        <v>59</v>
      </c>
      <c r="B62" s="74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2">
        <f t="shared" si="32"/>
        <v>0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0</v>
      </c>
      <c r="H62" s="67">
        <f t="shared" si="1"/>
        <v>256.66666666666669</v>
      </c>
      <c r="I62" s="7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5.3846153846153868</v>
      </c>
      <c r="N62" s="14">
        <f>IF('Données projet'!$A$36&gt;35,N61+M62-V61,IF(A62&lt;'Données projet'!$A$36,$K$205^A62,IF(A62='Données projet'!$A$36,'Données projet'!$B$36,N61+M62-V61)))</f>
        <v>219.61538461538453</v>
      </c>
      <c r="O62" s="14">
        <f>N62*VLOOKUP('Données projet'!$B$9,Paramètres!$A$1:$I$89,3,0)*VLOOKUP('Données projet'!$B$9,Paramètres!$A$1:$I$89,5,0)</f>
        <v>208.9859999999999</v>
      </c>
      <c r="P62" s="14">
        <f t="shared" si="33"/>
        <v>51.713938803941488</v>
      </c>
      <c r="Q62" s="22">
        <f t="shared" si="53"/>
        <v>454.05239341686456</v>
      </c>
      <c r="R62" s="60">
        <f t="shared" si="0"/>
        <v>747.38572675019782</v>
      </c>
      <c r="S62" s="60">
        <f ca="1">AVERAGE(OFFSET($R$3,0,0,'Données projet'!$E$9+1,1))-AVERAGE(OFFSET($H$3,0,0,'Données projet'!$E$9+1,1))</f>
        <v>403.49781966317852</v>
      </c>
      <c r="T62" s="60">
        <f t="shared" si="34"/>
        <v>326.06674572505409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0</v>
      </c>
      <c r="AA62" s="23">
        <f>EXP(-LN(2)/25)*AA61+(1-EXP(-LN(2)/25))/(LN(2)/25)*Calculateur!V62*Calculateur!X62*VLOOKUP('Données projet'!$B$9,Paramètres!$A$1:$I$89,3,0)*0.475*44/12</f>
        <v>0</v>
      </c>
      <c r="AB62" s="23">
        <f>EXP(-LN(2)/2)*AB61+(1-EXP(-LN(2)/2))/(LN(2)/2)*V62*Y62*VLOOKUP('Données projet'!$B$9,Paramètres!$A$1:$I$89,3,0)*0.475*44/12</f>
        <v>0</v>
      </c>
      <c r="AC62" s="24">
        <f t="shared" si="3"/>
        <v>0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4.2</v>
      </c>
      <c r="AI62" s="14">
        <f>IF('Données projet'!$A$62&gt;35,AI61+AH62-AQ61,IF(A62&lt;'Données projet'!$A$62,$AF$205^A62,IF(A62='Données projet'!$A$62,'Données projet'!$B$62,AI61+AH62-AQ61)))</f>
        <v>190.79999999999995</v>
      </c>
      <c r="AJ62" s="14">
        <f>AI62*VLOOKUP('Données projet'!$B$10,Paramètres!$A$1:$I$89,3,0)*VLOOKUP('Données projet'!$B$10,Paramètres!$A$1:$I$89,5,0)</f>
        <v>166.68287999999998</v>
      </c>
      <c r="AK62" s="14">
        <f t="shared" si="35"/>
        <v>42.346249176975</v>
      </c>
      <c r="AL62" s="22">
        <f t="shared" si="4"/>
        <v>364.05906664989806</v>
      </c>
      <c r="AM62" s="60">
        <f t="shared" si="5"/>
        <v>657.39239998323137</v>
      </c>
      <c r="AN62" s="60">
        <f ca="1">AVERAGE(OFFSET($AM$3,0,0,'Données projet'!$E$10+1,1))-AVERAGE(OFFSET($H$3,0,0,'Données projet'!$E$10+1,1))</f>
        <v>274.66236526869056</v>
      </c>
      <c r="AO62" s="60">
        <f t="shared" si="36"/>
        <v>256.90876395053073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>
        <f>EXP(-LN(2)/35)*AU61+(1-EXP(-LN(2)/35))/(LN(2)/35)*AQ62*AR62*VLOOKUP('Données projet'!$B$10,Paramètres!$A$1:$I$89,3,0)*0.475*44/12</f>
        <v>0</v>
      </c>
      <c r="AV62" s="23">
        <f>EXP(-LN(2)/25)*AV61+(1-EXP(-LN(2)/25))/(LN(2)/25)*Calculateur!AQ62*Calculateur!AS62*VLOOKUP('Données projet'!$B$10,Paramètres!$A$1:$I$89,3,0)*0.475*44/12</f>
        <v>0</v>
      </c>
      <c r="AW62" s="23">
        <f>EXP(-LN(2)/2)*AW61+(1-EXP(-LN(2)/2))/(LN(2)/2)*AQ62*AT62*VLOOKUP('Données projet'!$B$10,Paramètres!$A$1:$I$89,3,0)*0.475*44/12</f>
        <v>0</v>
      </c>
      <c r="AX62" s="23">
        <f t="shared" si="6"/>
        <v>0</v>
      </c>
      <c r="AY62" s="76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9.4</v>
      </c>
      <c r="BD62" s="13">
        <f>IF('Données projet'!$A$88&gt;35,BD61+BC62-BL61,IF(A62&lt;'Données projet'!$A$88,$BA$205^A62,IF(A62='Données projet'!$A$88,'Données projet'!$B$88,BD61+BC62-BL61)))</f>
        <v>263.59999999999997</v>
      </c>
      <c r="BE62" s="14">
        <f>BD62*VLOOKUP('Données projet'!$B$11,Paramètres!$A$1:$I$89,3,0)*VLOOKUP('Données projet'!$B$11,Paramètres!$A$1:$I$89,5,0)</f>
        <v>238.50527999999997</v>
      </c>
      <c r="BF62" s="14">
        <f t="shared" si="37"/>
        <v>58.117817352909881</v>
      </c>
      <c r="BG62" s="22">
        <f t="shared" si="7"/>
        <v>516.61856122298457</v>
      </c>
      <c r="BH62" s="60">
        <f t="shared" si="8"/>
        <v>809.95189455631794</v>
      </c>
      <c r="BI62" s="60">
        <f ca="1">AVERAGE(OFFSET($BH$3,0,0,'Données projet'!$E$11+1,1))-AVERAGE(OFFSET($H$3,0,0,'Données projet'!$E$11+1,1))</f>
        <v>529.25712986118265</v>
      </c>
      <c r="BJ62" s="60">
        <f t="shared" si="38"/>
        <v>278.21741231699929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>
        <f>EXP(-LN(2)/35)*BP61+(1-EXP(-LN(2)/35))/(LN(2)/35)*BL62*BM62*VLOOKUP('Données projet'!$B$11,Paramètres!$A$1:$I$89,3,0)*0.475*44/12</f>
        <v>0</v>
      </c>
      <c r="BQ62" s="23">
        <f>EXP(-LN(2)/25)*BQ61+(1-EXP(-LN(2)/25))/(LN(2)/25)*Calculateur!BL62*Calculateur!BN62*VLOOKUP('Données projet'!$B$11,Paramètres!$A$1:$I$89,3,0)*0.475*44/12</f>
        <v>0</v>
      </c>
      <c r="BR62" s="23">
        <f>EXP(-LN(2)/2)*BR61+(1-EXP(-LN(2)/2))/(LN(2)/2)*BL62*BO62*VLOOKUP('Données projet'!$B$11,Paramètres!$A$1:$I$89,3,0)*0.475*44/12</f>
        <v>0</v>
      </c>
      <c r="BS62" s="24">
        <f t="shared" si="9"/>
        <v>0</v>
      </c>
      <c r="BT62" s="77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9.4</v>
      </c>
      <c r="BY62" s="13">
        <f>IF('Données projet'!$A$114&gt;35,BY61+BX62-CG61,IF(A62&lt;'Données projet'!$A$114,$BV$205^A62,IF(A62='Données projet'!$A$114,'Données projet'!$B$114,BY61+BX62-CG61)))</f>
        <v>263.59999999999997</v>
      </c>
      <c r="BZ62" s="14">
        <f>BY62*VLOOKUP('Données projet'!$B$12,Paramètres!$A$1:$I$89,3,0)*VLOOKUP('Données projet'!$B$12,Paramètres!$A$1:$I$89,5,0)</f>
        <v>267.29039999999998</v>
      </c>
      <c r="CA62" s="14">
        <f t="shared" si="39"/>
        <v>64.273886654661325</v>
      </c>
      <c r="CB62" s="22">
        <f t="shared" si="10"/>
        <v>577.47446592353515</v>
      </c>
      <c r="CC62" s="60">
        <f t="shared" si="11"/>
        <v>870.80779925686852</v>
      </c>
      <c r="CD62" s="60">
        <f ca="1">AVERAGE(OFFSET($CC$3,0,0,'Données projet'!$E$12+1,1))-AVERAGE(OFFSET($H$3,0,0,'Données projet'!$E$12+1,1))</f>
        <v>587.74247372331615</v>
      </c>
      <c r="CE62" s="60">
        <f t="shared" si="40"/>
        <v>306.61893266146666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>
        <f>EXP(-LN(2)/35)*CK61+(1-EXP(-LN(2)/35))/(LN(2)/35)*CG62*CH62*VLOOKUP('Données projet'!$B$12,Paramètres!$A$1:$I$89,3,0)*0.475*44/12</f>
        <v>0</v>
      </c>
      <c r="CL62" s="23">
        <f>EXP(-LN(2)/25)*CL61+(1-EXP(-LN(2)/25))/(LN(2)/25)*Calculateur!CG62*Calculateur!CI62*VLOOKUP('Données projet'!$B$12,Paramètres!$A$1:$I$89,3,0)*0.475*44/12</f>
        <v>0</v>
      </c>
      <c r="CM62" s="23">
        <f>EXP(-LN(2)/2)*CM61+(1-EXP(-LN(2)/2))/(LN(2)/2)*CG62*CJ62*VLOOKUP('Données projet'!$B$12,Paramètres!$A$1:$I$89,3,0)*0.475*44/12</f>
        <v>0</v>
      </c>
      <c r="CN62" s="24">
        <f t="shared" si="12"/>
        <v>0</v>
      </c>
      <c r="CO62" s="77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9.4</v>
      </c>
      <c r="CT62" s="13">
        <f>IF('Données projet'!$A$140&gt;35,CT61+CS62-DB61,IF(A62&lt;'Données projet'!$A$140,$CQ$205^A62,IF(A62='Données projet'!$A$140,'Données projet'!$B$140,CT61+CS62-DB61)))</f>
        <v>263.59999999999997</v>
      </c>
      <c r="CU62" s="18">
        <f>CT62*VLOOKUP('Données projet'!$B$13,Paramètres!$A$1:$I$89,3,0)*VLOOKUP('Données projet'!$B$13,Paramètres!$A$1:$I$89,5,0)</f>
        <v>283.73903999999993</v>
      </c>
      <c r="CV62" s="14">
        <f t="shared" si="41"/>
        <v>67.756564441537463</v>
      </c>
      <c r="CW62" s="22">
        <f t="shared" si="13"/>
        <v>612.18817773567764</v>
      </c>
      <c r="CX62" s="60">
        <f t="shared" si="14"/>
        <v>905.52151106901101</v>
      </c>
      <c r="CY62" s="60">
        <f ca="1">AVERAGE(OFFSET($CX$3,0,0,'Données projet'!$E$13+1,1))-AVERAGE(OFFSET($H$3,0,0,'Données projet'!$E$13+1,1))</f>
        <v>621.10465023992288</v>
      </c>
      <c r="CZ62" s="60">
        <f t="shared" si="42"/>
        <v>322.81767004794284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>
        <f>EXP(-LN(2)/35)*DF61+(1-EXP(-LN(2)/35))/(LN(2)/35)*DB62*DC62*VLOOKUP('Données projet'!$B$13,Paramètres!$A$1:$I$89,3,0)*0.475*44/12</f>
        <v>0</v>
      </c>
      <c r="DG62" s="23">
        <f>EXP(-LN(2)/25)*DG61+(1-EXP(-LN(2)/25))/(LN(2)/25)*Calculateur!DB62*Calculateur!DD62*VLOOKUP('Données projet'!$B$13,Paramètres!$A$1:$I$89,3,0)*0.475*44/12</f>
        <v>0</v>
      </c>
      <c r="DH62" s="23">
        <f>EXP(-LN(2)/2)*DH61+(1-EXP(-LN(2)/2))/(LN(2)/2)*DB62*DE62*VLOOKUP('Données projet'!$B$13,Paramètres!$A$1:$I$89,3,0)*0.475*44/12</f>
        <v>0</v>
      </c>
      <c r="DI62" s="24">
        <f t="shared" si="15"/>
        <v>0</v>
      </c>
      <c r="DJ62" s="77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9.4</v>
      </c>
      <c r="DO62" s="13">
        <f>IF('Données projet'!$A$166&gt;35,DO61+DN62-DW61,IF(A62&lt;'Données projet'!$A$166,$DL$205^A62,IF(A62='Données projet'!$A$166,'Données projet'!$B$166,DO61+DN62-DW61)))</f>
        <v>263.59999999999997</v>
      </c>
      <c r="DP62" s="18">
        <f>DO62*VLOOKUP('Données projet'!$B$14,Paramètres!$A$1:$I$89,3,0)*VLOOKUP('Données projet'!$B$14,Paramètres!$A$1:$I$89,5,0)</f>
        <v>254.95391999999998</v>
      </c>
      <c r="DQ62" s="14">
        <f t="shared" si="43"/>
        <v>61.645533788540583</v>
      </c>
      <c r="DR62" s="22">
        <f t="shared" si="16"/>
        <v>551.41071534837477</v>
      </c>
      <c r="DS62" s="60">
        <f t="shared" si="17"/>
        <v>844.74404868170814</v>
      </c>
      <c r="DT62" s="60">
        <f ca="1">AVERAGE(OFFSET($DS$3,0,0,'Données projet'!$E$14+1,1))-AVERAGE(OFFSET($H$3,0,0,'Données projet'!$E$14+1,1))</f>
        <v>562.69380557620775</v>
      </c>
      <c r="DU62" s="60">
        <f t="shared" si="44"/>
        <v>294.45557293177131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>
        <f>EXP(-LN(2)/35)*EA61+(1-EXP(-LN(2)/35))/(LN(2)/35)*DW62*DX62*VLOOKUP('Données projet'!$B$14,Paramètres!$A$1:$I$89,3,0)*0.475*44/12</f>
        <v>0</v>
      </c>
      <c r="EB62" s="23">
        <f>EXP(-LN(2)/25)*EB61+(1-EXP(-LN(2)/25))/(LN(2)/25)*Calculateur!DW62*Calculateur!DY62*VLOOKUP('Données projet'!$B$14,Paramètres!$A$1:$I$89,3,0)*0.475*44/12</f>
        <v>0</v>
      </c>
      <c r="EC62" s="23">
        <f>EXP(-LN(2)/2)*EC61+(1-EXP(-LN(2)/2))/(LN(2)/2)*DW62*DZ62*VLOOKUP('Données projet'!$B$14,Paramètres!$A$1:$I$89,3,0)*0.475*44/12</f>
        <v>0</v>
      </c>
      <c r="ED62" s="24">
        <f t="shared" si="18"/>
        <v>0</v>
      </c>
      <c r="EE62" s="77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9.375</v>
      </c>
      <c r="EJ62" s="13">
        <f>IF('Données projet'!$A$192&gt;35,EJ61+EI62-ER61,IF(A62&lt;'Données projet'!$A$192,$EG$205^A62,IF(A62='Données projet'!$A$192,'Données projet'!$B$192,EJ61+EI62-ER61)))</f>
        <v>287.62499999999994</v>
      </c>
      <c r="EK62" s="18">
        <f>EJ62*VLOOKUP('Données projet'!$B$15,Paramètres!$A$1:$I$89,3,0)*VLOOKUP('Données projet'!$B$15,Paramètres!$A$1:$I$89,5,0)</f>
        <v>224.34749999999997</v>
      </c>
      <c r="EL62" s="14">
        <f t="shared" si="45"/>
        <v>55.058714525680479</v>
      </c>
      <c r="EM62" s="22">
        <f t="shared" si="19"/>
        <v>486.63249029889352</v>
      </c>
      <c r="EN62" s="60">
        <f t="shared" si="20"/>
        <v>779.96582363222683</v>
      </c>
      <c r="EO62" s="60">
        <f ca="1">AVERAGE(OFFSET($EN$3,0,0,'Données projet'!$E$15+1,1))-AVERAGE(OFFSET($H$3,0,0,'Données projet'!$E$15+1,1))</f>
        <v>292.57482726862594</v>
      </c>
      <c r="EP62" s="60">
        <f t="shared" si="46"/>
        <v>283.48738729114024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>
        <f>EXP(-LN(2)/35)*EV61+(1-EXP(-LN(2)/35))/(LN(2)/35)*ER62*ES62*VLOOKUP('Données projet'!$B$15,Paramètres!$A$1:$I$89,3,0)*0.475*44/12</f>
        <v>0</v>
      </c>
      <c r="EW62" s="23">
        <f>EXP(-LN(2)/25)*EW61+(1-EXP(-LN(2)/25))/(LN(2)/25)*Calculateur!ER62*Calculateur!ET62*VLOOKUP('Données projet'!$B$15,Paramètres!$A$1:$I$89,3,0)*0.475*44/12</f>
        <v>0</v>
      </c>
      <c r="EX62" s="23">
        <f>EXP(-LN(2)/2)*EX61+(1-EXP(-LN(2)/2))/(LN(2)/2)*ER62*EU62*VLOOKUP('Données projet'!$B$15,Paramètres!$A$1:$I$89,3,0)*0.475*44/12</f>
        <v>0</v>
      </c>
      <c r="EY62" s="24">
        <f t="shared" si="21"/>
        <v>0</v>
      </c>
      <c r="EZ62" s="77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0" t="e">
        <f t="shared" si="23"/>
        <v>#N/A</v>
      </c>
      <c r="FJ62" s="60" t="e">
        <f ca="1">AVERAGE(OFFSET($FI$3,0,0,'Données projet'!$E$16+1,1))-AVERAGE(OFFSET($H$3,0,0,'Données projet'!$E$16+1,1))</f>
        <v>#N/A</v>
      </c>
      <c r="FK62" s="60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77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0" t="e">
        <f t="shared" si="26"/>
        <v>#N/A</v>
      </c>
      <c r="GE62" s="60" t="e">
        <f ca="1">AVERAGE(OFFSET($GD$3,0,0,'Données projet'!$E$17+1,1))-AVERAGE(OFFSET($H$3,0,0,'Données projet'!$E$17+1,1))</f>
        <v>#N/A</v>
      </c>
      <c r="GF62" s="60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77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0" t="e">
        <f t="shared" si="29"/>
        <v>#N/A</v>
      </c>
      <c r="GZ62" s="60" t="e">
        <f ca="1">AVERAGE(OFFSET($GY$3,0,0,'Données projet'!$E$18+1,1))-AVERAGE(OFFSET($H$3,0,0,'Données projet'!$E$18+1,1))</f>
        <v>#N/A</v>
      </c>
      <c r="HA62" s="60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25">
      <c r="A63" s="11">
        <f t="shared" si="31"/>
        <v>60</v>
      </c>
      <c r="B63" s="74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2">
        <f t="shared" si="32"/>
        <v>0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0</v>
      </c>
      <c r="H63" s="67">
        <f t="shared" si="1"/>
        <v>256.66666666666669</v>
      </c>
      <c r="I63" s="7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>
        <f>VLOOKUP(A63,'Données projet'!$A$35:$I$55,2,0)</f>
        <v>225</v>
      </c>
      <c r="L63" s="13">
        <f>VLOOKUP(A63,'Données projet'!$A$35:$I$55,9,0)</f>
        <v>5.3846153846153868</v>
      </c>
      <c r="M63" s="13">
        <f t="array" ref="M63">INDEX(L:L,MIN(IF(ISNUMBER(L63:L259),ROW(L63:L259),"")))</f>
        <v>5.3846153846153868</v>
      </c>
      <c r="N63" s="14">
        <f>IF('Données projet'!$A$36&gt;35,N62+M63-V62,IF(A63&lt;'Données projet'!$A$36,$K$205^A63,IF(A63='Données projet'!$A$36,'Données projet'!$B$36,N62+M63-V62)))</f>
        <v>224.99999999999991</v>
      </c>
      <c r="O63" s="14">
        <f>N63*VLOOKUP('Données projet'!$B$9,Paramètres!$A$1:$I$89,3,0)*VLOOKUP('Données projet'!$B$9,Paramètres!$A$1:$I$89,5,0)</f>
        <v>214.10999999999993</v>
      </c>
      <c r="P63" s="14">
        <f t="shared" si="33"/>
        <v>52.832708448119853</v>
      </c>
      <c r="Q63" s="22">
        <f t="shared" si="53"/>
        <v>464.92521721380859</v>
      </c>
      <c r="R63" s="60">
        <f t="shared" si="0"/>
        <v>758.25855054714191</v>
      </c>
      <c r="S63" s="60">
        <f ca="1">AVERAGE(OFFSET($R$3,0,0,'Données projet'!$E$9+1,1))-AVERAGE(OFFSET($H$3,0,0,'Données projet'!$E$9+1,1))</f>
        <v>403.49781966317852</v>
      </c>
      <c r="T63" s="60">
        <f t="shared" si="34"/>
        <v>326.06674572505409</v>
      </c>
      <c r="U63" s="16">
        <f>IF(ISNA(VLOOKUP(A63,'Données projet'!$A$35:$I$55,3,0)),0,VLOOKUP(A63,'Données projet'!$A$35:$I$55,3,0))</f>
        <v>5</v>
      </c>
      <c r="V63" s="16">
        <f>IF(ISNA(VLOOKUP(A63,'Données projet'!$A$35:$I$55,4,0)),0,VLOOKUP(A63,'Données projet'!$A$35:$I$55,4,0))</f>
        <v>33.974358974358971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0</v>
      </c>
      <c r="AA63" s="23">
        <f>EXP(-LN(2)/25)*AA62+(1-EXP(-LN(2)/25))/(LN(2)/25)*Calculateur!V63*Calculateur!X63*VLOOKUP('Données projet'!$B$9,Paramètres!$A$1:$I$89,3,0)*0.475*44/12</f>
        <v>0</v>
      </c>
      <c r="AB63" s="23">
        <f>EXP(-LN(2)/2)*AB62+(1-EXP(-LN(2)/2))/(LN(2)/2)*V63*Y63*VLOOKUP('Données projet'!$B$9,Paramètres!$A$1:$I$89,3,0)*0.475*44/12</f>
        <v>0</v>
      </c>
      <c r="AC63" s="24">
        <f t="shared" si="3"/>
        <v>0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>
        <f>VLOOKUP(A63,'Données projet'!$A$61:$I$81,2,0)</f>
        <v>195</v>
      </c>
      <c r="AG63" s="13">
        <f>VLOOKUP(A63,'Données projet'!$A$61:$I$81,9,0)</f>
        <v>4.2</v>
      </c>
      <c r="AH63" s="13">
        <f t="array" ref="AH63">INDEX(AG:AG,MIN(IF(ISNUMBER(AG63:AG259),ROW(AG63:AG259),"")))</f>
        <v>4.2</v>
      </c>
      <c r="AI63" s="14">
        <f>IF('Données projet'!$A$62&gt;35,AI62+AH63-AQ62,IF(A63&lt;'Données projet'!$A$62,$AF$205^A63,IF(A63='Données projet'!$A$62,'Données projet'!$B$62,AI62+AH63-AQ62)))</f>
        <v>194.99999999999994</v>
      </c>
      <c r="AJ63" s="14">
        <f>AI63*VLOOKUP('Données projet'!$B$10,Paramètres!$A$1:$I$89,3,0)*VLOOKUP('Données projet'!$B$10,Paramètres!$A$1:$I$89,5,0)</f>
        <v>170.35199999999998</v>
      </c>
      <c r="AK63" s="14">
        <f t="shared" si="35"/>
        <v>43.168850382694451</v>
      </c>
      <c r="AL63" s="22">
        <f t="shared" si="4"/>
        <v>371.88214774985937</v>
      </c>
      <c r="AM63" s="60">
        <f t="shared" si="5"/>
        <v>665.21548108319269</v>
      </c>
      <c r="AN63" s="60">
        <f ca="1">AVERAGE(OFFSET($AM$3,0,0,'Données projet'!$E$10+1,1))-AVERAGE(OFFSET($H$3,0,0,'Données projet'!$E$10+1,1))</f>
        <v>274.66236526869056</v>
      </c>
      <c r="AO63" s="60">
        <f t="shared" si="36"/>
        <v>256.90876395053073</v>
      </c>
      <c r="AP63" s="16">
        <f>IF(ISNA(VLOOKUP(A63,'Données projet'!$A$61:$I$81,3,0)),0,VLOOKUP(A63,'Données projet'!$A$61:$I$81,3,0))</f>
        <v>0</v>
      </c>
      <c r="AQ63" s="16">
        <f>IF(ISNA(VLOOKUP(A63,'Données projet'!$A$61:$I$81,4,0)),0,VLOOKUP(A63,'Données projet'!$A$61:$I$81,4,0))</f>
        <v>0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>
        <f>EXP(-LN(2)/35)*AU62+(1-EXP(-LN(2)/35))/(LN(2)/35)*AQ63*AR63*VLOOKUP('Données projet'!$B$10,Paramètres!$A$1:$I$89,3,0)*0.475*44/12</f>
        <v>0</v>
      </c>
      <c r="AV63" s="23">
        <f>EXP(-LN(2)/25)*AV62+(1-EXP(-LN(2)/25))/(LN(2)/25)*Calculateur!AQ63*Calculateur!AS63*VLOOKUP('Données projet'!$B$10,Paramètres!$A$1:$I$89,3,0)*0.475*44/12</f>
        <v>0</v>
      </c>
      <c r="AW63" s="23">
        <f>EXP(-LN(2)/2)*AW62+(1-EXP(-LN(2)/2))/(LN(2)/2)*AQ63*AT63*VLOOKUP('Données projet'!$B$10,Paramètres!$A$1:$I$89,3,0)*0.475*44/12</f>
        <v>0</v>
      </c>
      <c r="AX63" s="23">
        <f t="shared" si="6"/>
        <v>0</v>
      </c>
      <c r="AY63" s="76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>
        <f>VLOOKUP(A63,'Données projet'!$A$87:$I$107,2,0)</f>
        <v>273</v>
      </c>
      <c r="BB63" s="13">
        <f>VLOOKUP(A63,'Données projet'!$A$87:$I$107,9,0)</f>
        <v>9.4</v>
      </c>
      <c r="BC63" s="13">
        <f t="array" ref="BC63">INDEX(BB:BB,MIN(IF(ISNUMBER(BB63:BB259),ROW(BB63:BB259),"")))</f>
        <v>9.4</v>
      </c>
      <c r="BD63" s="13">
        <f>IF('Données projet'!$A$88&gt;35,BD62+BC63-BL62,IF(A63&lt;'Données projet'!$A$88,$BA$205^A63,IF(A63='Données projet'!$A$88,'Données projet'!$B$88,BD62+BC63-BL62)))</f>
        <v>272.99999999999994</v>
      </c>
      <c r="BE63" s="14">
        <f>BD63*VLOOKUP('Données projet'!$B$11,Paramètres!$A$1:$I$89,3,0)*VLOOKUP('Données projet'!$B$11,Paramètres!$A$1:$I$89,5,0)</f>
        <v>247.01039999999992</v>
      </c>
      <c r="BF63" s="14">
        <f t="shared" si="37"/>
        <v>59.945315462121812</v>
      </c>
      <c r="BG63" s="22">
        <f t="shared" si="7"/>
        <v>534.61453776319524</v>
      </c>
      <c r="BH63" s="60">
        <f t="shared" si="8"/>
        <v>827.94787109652862</v>
      </c>
      <c r="BI63" s="60">
        <f ca="1">AVERAGE(OFFSET($BH$3,0,0,'Données projet'!$E$11+1,1))-AVERAGE(OFFSET($H$3,0,0,'Données projet'!$E$11+1,1))</f>
        <v>529.25712986118265</v>
      </c>
      <c r="BJ63" s="60">
        <f t="shared" si="38"/>
        <v>278.21741231699929</v>
      </c>
      <c r="BK63" s="16">
        <f>IF(ISNA(VLOOKUP(A63,'Données projet'!$A$87:$I$107,3,0)),0,VLOOKUP(A63,'Données projet'!$A$87:$I$107,3,0))</f>
        <v>0</v>
      </c>
      <c r="BL63" s="16">
        <f>IF(ISNA(VLOOKUP(A63,'Données projet'!$A$87:$I$107,4,0)),0,VLOOKUP(A63,'Données projet'!$A$87:$I$107,4,0))</f>
        <v>0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>
        <f>EXP(-LN(2)/35)*BP62+(1-EXP(-LN(2)/35))/(LN(2)/35)*BL63*BM63*VLOOKUP('Données projet'!$B$11,Paramètres!$A$1:$I$89,3,0)*0.475*44/12</f>
        <v>0</v>
      </c>
      <c r="BQ63" s="23">
        <f>EXP(-LN(2)/25)*BQ62+(1-EXP(-LN(2)/25))/(LN(2)/25)*Calculateur!BL63*Calculateur!BN63*VLOOKUP('Données projet'!$B$11,Paramètres!$A$1:$I$89,3,0)*0.475*44/12</f>
        <v>0</v>
      </c>
      <c r="BR63" s="23">
        <f>EXP(-LN(2)/2)*BR62+(1-EXP(-LN(2)/2))/(LN(2)/2)*BL63*BO63*VLOOKUP('Données projet'!$B$11,Paramètres!$A$1:$I$89,3,0)*0.475*44/12</f>
        <v>0</v>
      </c>
      <c r="BS63" s="24">
        <f t="shared" si="9"/>
        <v>0</v>
      </c>
      <c r="BT63" s="77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>
        <f>VLOOKUP(A63,'Données projet'!$A$113:$I$133,2,0)</f>
        <v>273</v>
      </c>
      <c r="BW63" s="13">
        <f>VLOOKUP(A63,'Données projet'!$A$113:$I$133,9,0)</f>
        <v>9.4</v>
      </c>
      <c r="BX63" s="13">
        <f t="array" ref="BX63">INDEX(BW:BW,MIN(IF(ISNUMBER(BW63:BW259),ROW(BW63:BW259),"")))</f>
        <v>9.4</v>
      </c>
      <c r="BY63" s="13">
        <f>IF('Données projet'!$A$114&gt;35,BY62+BX63-CG62,IF(A63&lt;'Données projet'!$A$114,$BV$205^A63,IF(A63='Données projet'!$A$114,'Données projet'!$B$114,BY62+BX63-CG62)))</f>
        <v>272.99999999999994</v>
      </c>
      <c r="BZ63" s="14">
        <f>BY63*VLOOKUP('Données projet'!$B$12,Paramètres!$A$1:$I$89,3,0)*VLOOKUP('Données projet'!$B$12,Paramètres!$A$1:$I$89,5,0)</f>
        <v>276.82199999999995</v>
      </c>
      <c r="CA63" s="14">
        <f t="shared" si="39"/>
        <v>66.29496059864374</v>
      </c>
      <c r="CB63" s="22">
        <f t="shared" si="10"/>
        <v>597.59537304263779</v>
      </c>
      <c r="CC63" s="60">
        <f t="shared" si="11"/>
        <v>890.92870637597116</v>
      </c>
      <c r="CD63" s="60">
        <f ca="1">AVERAGE(OFFSET($CC$3,0,0,'Données projet'!$E$12+1,1))-AVERAGE(OFFSET($H$3,0,0,'Données projet'!$E$12+1,1))</f>
        <v>587.74247372331615</v>
      </c>
      <c r="CE63" s="60">
        <f t="shared" si="40"/>
        <v>306.61893266146666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>
        <f>EXP(-LN(2)/35)*CK62+(1-EXP(-LN(2)/35))/(LN(2)/35)*CG63*CH63*VLOOKUP('Données projet'!$B$12,Paramètres!$A$1:$I$89,3,0)*0.475*44/12</f>
        <v>0</v>
      </c>
      <c r="CL63" s="23">
        <f>EXP(-LN(2)/25)*CL62+(1-EXP(-LN(2)/25))/(LN(2)/25)*Calculateur!CG63*Calculateur!CI63*VLOOKUP('Données projet'!$B$12,Paramètres!$A$1:$I$89,3,0)*0.475*44/12</f>
        <v>0</v>
      </c>
      <c r="CM63" s="23">
        <f>EXP(-LN(2)/2)*CM62+(1-EXP(-LN(2)/2))/(LN(2)/2)*CG63*CJ63*VLOOKUP('Données projet'!$B$12,Paramètres!$A$1:$I$89,3,0)*0.475*44/12</f>
        <v>0</v>
      </c>
      <c r="CN63" s="24">
        <f t="shared" si="12"/>
        <v>0</v>
      </c>
      <c r="CO63" s="77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>
        <f>VLOOKUP(A63,'Données projet'!$A$139:$I$159,2,0)</f>
        <v>273</v>
      </c>
      <c r="CR63" s="13">
        <f>VLOOKUP(A63,'Données projet'!$A$139:$I$159,9,0)</f>
        <v>9.4</v>
      </c>
      <c r="CS63" s="13">
        <f t="array" ref="CS63">INDEX(CR:CR,MIN(IF(ISNUMBER(CR63:CR259),ROW(CR63:CR259),"")))</f>
        <v>9.4</v>
      </c>
      <c r="CT63" s="13">
        <f>IF('Données projet'!$A$140&gt;35,CT62+CS63-DB62,IF(A63&lt;'Données projet'!$A$140,$CQ$205^A63,IF(A63='Données projet'!$A$140,'Données projet'!$B$140,CT62+CS63-DB62)))</f>
        <v>272.99999999999994</v>
      </c>
      <c r="CU63" s="18">
        <f>CT63*VLOOKUP('Données projet'!$B$13,Paramètres!$A$1:$I$89,3,0)*VLOOKUP('Données projet'!$B$13,Paramètres!$A$1:$I$89,5,0)</f>
        <v>293.85719999999992</v>
      </c>
      <c r="CV63" s="14">
        <f t="shared" si="41"/>
        <v>69.887150190339781</v>
      </c>
      <c r="CW63" s="22">
        <f t="shared" si="13"/>
        <v>633.52140991484157</v>
      </c>
      <c r="CX63" s="60">
        <f t="shared" si="14"/>
        <v>926.85474324817483</v>
      </c>
      <c r="CY63" s="60">
        <f ca="1">AVERAGE(OFFSET($CX$3,0,0,'Données projet'!$E$13+1,1))-AVERAGE(OFFSET($H$3,0,0,'Données projet'!$E$13+1,1))</f>
        <v>621.10465023992288</v>
      </c>
      <c r="CZ63" s="60">
        <f t="shared" si="42"/>
        <v>322.81767004794284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>
        <f>EXP(-LN(2)/35)*DF62+(1-EXP(-LN(2)/35))/(LN(2)/35)*DB63*DC63*VLOOKUP('Données projet'!$B$13,Paramètres!$A$1:$I$89,3,0)*0.475*44/12</f>
        <v>0</v>
      </c>
      <c r="DG63" s="23">
        <f>EXP(-LN(2)/25)*DG62+(1-EXP(-LN(2)/25))/(LN(2)/25)*Calculateur!DB63*Calculateur!DD63*VLOOKUP('Données projet'!$B$13,Paramètres!$A$1:$I$89,3,0)*0.475*44/12</f>
        <v>0</v>
      </c>
      <c r="DH63" s="23">
        <f>EXP(-LN(2)/2)*DH62+(1-EXP(-LN(2)/2))/(LN(2)/2)*DB63*DE63*VLOOKUP('Données projet'!$B$13,Paramètres!$A$1:$I$89,3,0)*0.475*44/12</f>
        <v>0</v>
      </c>
      <c r="DI63" s="24">
        <f t="shared" si="15"/>
        <v>0</v>
      </c>
      <c r="DJ63" s="77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>
        <f>VLOOKUP(A63,'Données projet'!$A$165:$I$185,2,0)</f>
        <v>273</v>
      </c>
      <c r="DM63" s="13">
        <f>VLOOKUP(A63,'Données projet'!$A$165:$I$185,9,0)</f>
        <v>9.4</v>
      </c>
      <c r="DN63" s="13">
        <f t="array" ref="DN63">INDEX(DM:DM,MIN(IF(ISNUMBER(DM63:DM259),ROW(DM63:DM259),"")))</f>
        <v>9.4</v>
      </c>
      <c r="DO63" s="13">
        <f>IF('Données projet'!$A$166&gt;35,DO62+DN63-DW62,IF(A63&lt;'Données projet'!$A$166,$DL$205^A63,IF(A63='Données projet'!$A$166,'Données projet'!$B$166,DO62+DN63-DW62)))</f>
        <v>272.99999999999994</v>
      </c>
      <c r="DP63" s="18">
        <f>DO63*VLOOKUP('Données projet'!$B$14,Paramètres!$A$1:$I$89,3,0)*VLOOKUP('Données projet'!$B$14,Paramètres!$A$1:$I$89,5,0)</f>
        <v>264.04559999999992</v>
      </c>
      <c r="DQ63" s="14">
        <f t="shared" si="43"/>
        <v>63.58395992997368</v>
      </c>
      <c r="DR63" s="22">
        <f t="shared" si="16"/>
        <v>570.62148354470401</v>
      </c>
      <c r="DS63" s="60">
        <f t="shared" si="17"/>
        <v>863.95481687803726</v>
      </c>
      <c r="DT63" s="60">
        <f ca="1">AVERAGE(OFFSET($DS$3,0,0,'Données projet'!$E$14+1,1))-AVERAGE(OFFSET($H$3,0,0,'Données projet'!$E$14+1,1))</f>
        <v>562.69380557620775</v>
      </c>
      <c r="DU63" s="60">
        <f t="shared" si="44"/>
        <v>294.45557293177131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>
        <f>EXP(-LN(2)/35)*EA62+(1-EXP(-LN(2)/35))/(LN(2)/35)*DW63*DX63*VLOOKUP('Données projet'!$B$14,Paramètres!$A$1:$I$89,3,0)*0.475*44/12</f>
        <v>0</v>
      </c>
      <c r="EB63" s="23">
        <f>EXP(-LN(2)/25)*EB62+(1-EXP(-LN(2)/25))/(LN(2)/25)*Calculateur!DW63*Calculateur!DY63*VLOOKUP('Données projet'!$B$14,Paramètres!$A$1:$I$89,3,0)*0.475*44/12</f>
        <v>0</v>
      </c>
      <c r="EC63" s="23">
        <f>EXP(-LN(2)/2)*EC62+(1-EXP(-LN(2)/2))/(LN(2)/2)*DW63*DZ63*VLOOKUP('Données projet'!$B$14,Paramètres!$A$1:$I$89,3,0)*0.475*44/12</f>
        <v>0</v>
      </c>
      <c r="ED63" s="24">
        <f t="shared" si="18"/>
        <v>0</v>
      </c>
      <c r="EE63" s="77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>
        <f>VLOOKUP(A63,'Données projet'!$A$191:$I$211,2,0)</f>
        <v>297</v>
      </c>
      <c r="EH63" s="13">
        <f>VLOOKUP(A63,'Données projet'!$A$191:$I$211,9,0)</f>
        <v>9.375</v>
      </c>
      <c r="EI63" s="13">
        <f t="array" ref="EI63">INDEX(EH:EH,MIN(IF(ISNUMBER(EH63:EH259),ROW(EH63:EH259),"")))</f>
        <v>9.375</v>
      </c>
      <c r="EJ63" s="13">
        <f>IF('Données projet'!$A$192&gt;35,EJ62+EI63-ER62,IF(A63&lt;'Données projet'!$A$192,$EG$205^A63,IF(A63='Données projet'!$A$192,'Données projet'!$B$192,EJ62+EI63-ER62)))</f>
        <v>296.99999999999994</v>
      </c>
      <c r="EK63" s="18">
        <f>EJ63*VLOOKUP('Données projet'!$B$15,Paramètres!$A$1:$I$89,3,0)*VLOOKUP('Données projet'!$B$15,Paramètres!$A$1:$I$89,5,0)</f>
        <v>231.65999999999997</v>
      </c>
      <c r="EL63" s="14">
        <f t="shared" si="45"/>
        <v>56.641461975682766</v>
      </c>
      <c r="EM63" s="22">
        <f t="shared" si="19"/>
        <v>502.12504627431412</v>
      </c>
      <c r="EN63" s="60">
        <f t="shared" si="20"/>
        <v>795.45837960764743</v>
      </c>
      <c r="EO63" s="60">
        <f ca="1">AVERAGE(OFFSET($EN$3,0,0,'Données projet'!$E$15+1,1))-AVERAGE(OFFSET($H$3,0,0,'Données projet'!$E$15+1,1))</f>
        <v>292.57482726862594</v>
      </c>
      <c r="EP63" s="60">
        <f t="shared" si="46"/>
        <v>283.48738729114024</v>
      </c>
      <c r="EQ63" s="16">
        <f>IF(ISNA(VLOOKUP(A63,'Données projet'!$A$191:$I$211,3,0)),0,VLOOKUP(A63,'Données projet'!$A$191:$I$211,3,0))</f>
        <v>6</v>
      </c>
      <c r="ER63" s="16">
        <f>IF(ISNA(VLOOKUP(A63,'Données projet'!$A$191:$I$211,4,0)),0,VLOOKUP(A63,'Données projet'!$A$191:$I$211,4,0))</f>
        <v>47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>
        <f>EXP(-LN(2)/35)*EV62+(1-EXP(-LN(2)/35))/(LN(2)/35)*ER63*ES63*VLOOKUP('Données projet'!$B$15,Paramètres!$A$1:$I$89,3,0)*0.475*44/12</f>
        <v>0</v>
      </c>
      <c r="EW63" s="23">
        <f>EXP(-LN(2)/25)*EW62+(1-EXP(-LN(2)/25))/(LN(2)/25)*Calculateur!ER63*Calculateur!ET63*VLOOKUP('Données projet'!$B$15,Paramètres!$A$1:$I$89,3,0)*0.475*44/12</f>
        <v>0</v>
      </c>
      <c r="EX63" s="23">
        <f>EXP(-LN(2)/2)*EX62+(1-EXP(-LN(2)/2))/(LN(2)/2)*ER63*EU63*VLOOKUP('Données projet'!$B$15,Paramètres!$A$1:$I$89,3,0)*0.475*44/12</f>
        <v>0</v>
      </c>
      <c r="EY63" s="24">
        <f t="shared" si="21"/>
        <v>0</v>
      </c>
      <c r="EZ63" s="77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0" t="e">
        <f t="shared" si="23"/>
        <v>#N/A</v>
      </c>
      <c r="FJ63" s="60" t="e">
        <f ca="1">AVERAGE(OFFSET($FI$3,0,0,'Données projet'!$E$16+1,1))-AVERAGE(OFFSET($H$3,0,0,'Données projet'!$E$16+1,1))</f>
        <v>#N/A</v>
      </c>
      <c r="FK63" s="60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77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0" t="e">
        <f t="shared" si="26"/>
        <v>#N/A</v>
      </c>
      <c r="GE63" s="60" t="e">
        <f ca="1">AVERAGE(OFFSET($GD$3,0,0,'Données projet'!$E$17+1,1))-AVERAGE(OFFSET($H$3,0,0,'Données projet'!$E$17+1,1))</f>
        <v>#N/A</v>
      </c>
      <c r="GF63" s="60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77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0" t="e">
        <f t="shared" si="29"/>
        <v>#N/A</v>
      </c>
      <c r="GZ63" s="60" t="e">
        <f ca="1">AVERAGE(OFFSET($GY$3,0,0,'Données projet'!$E$18+1,1))-AVERAGE(OFFSET($H$3,0,0,'Données projet'!$E$18+1,1))</f>
        <v>#N/A</v>
      </c>
      <c r="HA63" s="60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25">
      <c r="A64" s="11">
        <f t="shared" si="31"/>
        <v>61</v>
      </c>
      <c r="B64" s="74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2">
        <f t="shared" si="32"/>
        <v>0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0</v>
      </c>
      <c r="H64" s="67">
        <f t="shared" si="1"/>
        <v>256.66666666666669</v>
      </c>
      <c r="I64" s="7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5</v>
      </c>
      <c r="N64" s="14">
        <f>IF('Données projet'!$A$36&gt;35,N63+M64-V63,IF(A64&lt;'Données projet'!$A$36,$K$205^A64,IF(A64='Données projet'!$A$36,'Données projet'!$B$36,N63+M64-V63)))</f>
        <v>196.02564102564094</v>
      </c>
      <c r="O64" s="14">
        <f>N64*VLOOKUP('Données projet'!$B$9,Paramètres!$A$1:$I$89,3,0)*VLOOKUP('Données projet'!$B$9,Paramètres!$A$1:$I$89,5,0)</f>
        <v>186.5379999999999</v>
      </c>
      <c r="P64" s="14">
        <f t="shared" si="33"/>
        <v>46.773736568953147</v>
      </c>
      <c r="Q64" s="22">
        <f t="shared" si="53"/>
        <v>406.35127452425991</v>
      </c>
      <c r="R64" s="60">
        <f t="shared" si="0"/>
        <v>699.68460785759316</v>
      </c>
      <c r="S64" s="60">
        <f ca="1">AVERAGE(OFFSET($R$3,0,0,'Données projet'!$E$9+1,1))-AVERAGE(OFFSET($H$3,0,0,'Données projet'!$E$9+1,1))</f>
        <v>403.49781966317852</v>
      </c>
      <c r="T64" s="60">
        <f t="shared" si="34"/>
        <v>326.06674572505409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0</v>
      </c>
      <c r="AA64" s="23">
        <f>EXP(-LN(2)/25)*AA63+(1-EXP(-LN(2)/25))/(LN(2)/25)*Calculateur!V64*Calculateur!X64*VLOOKUP('Données projet'!$B$9,Paramètres!$A$1:$I$89,3,0)*0.475*44/12</f>
        <v>0</v>
      </c>
      <c r="AB64" s="23">
        <f>EXP(-LN(2)/2)*AB63+(1-EXP(-LN(2)/2))/(LN(2)/2)*V64*Y64*VLOOKUP('Données projet'!$B$9,Paramètres!$A$1:$I$89,3,0)*0.475*44/12</f>
        <v>0</v>
      </c>
      <c r="AC64" s="24">
        <f t="shared" si="3"/>
        <v>0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3.2</v>
      </c>
      <c r="AI64" s="14">
        <f>IF('Données projet'!$A$62&gt;35,AI63+AH64-AQ63,IF(A64&lt;'Données projet'!$A$62,$AF$205^A64,IF(A64='Données projet'!$A$62,'Données projet'!$B$62,AI63+AH64-AQ63)))</f>
        <v>198.19999999999993</v>
      </c>
      <c r="AJ64" s="14">
        <f>AI64*VLOOKUP('Données projet'!$B$10,Paramètres!$A$1:$I$89,3,0)*VLOOKUP('Données projet'!$B$10,Paramètres!$A$1:$I$89,5,0)</f>
        <v>173.14751999999996</v>
      </c>
      <c r="AK64" s="14">
        <f t="shared" si="35"/>
        <v>43.794208927254033</v>
      </c>
      <c r="AL64" s="22">
        <f t="shared" si="4"/>
        <v>377.84017788163402</v>
      </c>
      <c r="AM64" s="60">
        <f t="shared" si="5"/>
        <v>671.17351121496733</v>
      </c>
      <c r="AN64" s="60">
        <f ca="1">AVERAGE(OFFSET($AM$3,0,0,'Données projet'!$E$10+1,1))-AVERAGE(OFFSET($H$3,0,0,'Données projet'!$E$10+1,1))</f>
        <v>274.66236526869056</v>
      </c>
      <c r="AO64" s="60">
        <f t="shared" si="36"/>
        <v>256.90876395053073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>
        <f>EXP(-LN(2)/35)*AU63+(1-EXP(-LN(2)/35))/(LN(2)/35)*AQ64*AR64*VLOOKUP('Données projet'!$B$10,Paramètres!$A$1:$I$89,3,0)*0.475*44/12</f>
        <v>0</v>
      </c>
      <c r="AV64" s="23">
        <f>EXP(-LN(2)/25)*AV63+(1-EXP(-LN(2)/25))/(LN(2)/25)*Calculateur!AQ64*Calculateur!AS64*VLOOKUP('Données projet'!$B$10,Paramètres!$A$1:$I$89,3,0)*0.475*44/12</f>
        <v>0</v>
      </c>
      <c r="AW64" s="23">
        <f>EXP(-LN(2)/2)*AW63+(1-EXP(-LN(2)/2))/(LN(2)/2)*AQ64*AT64*VLOOKUP('Données projet'!$B$10,Paramètres!$A$1:$I$89,3,0)*0.475*44/12</f>
        <v>0</v>
      </c>
      <c r="AX64" s="23">
        <f t="shared" si="6"/>
        <v>0</v>
      </c>
      <c r="AY64" s="76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8.8000000000000007</v>
      </c>
      <c r="BD64" s="13">
        <f>IF('Données projet'!$A$88&gt;35,BD63+BC64-BL63,IF(A64&lt;'Données projet'!$A$88,$BA$205^A64,IF(A64='Données projet'!$A$88,'Données projet'!$B$88,BD63+BC64-BL63)))</f>
        <v>281.79999999999995</v>
      </c>
      <c r="BE64" s="14">
        <f>BD64*VLOOKUP('Données projet'!$B$11,Paramètres!$A$1:$I$89,3,0)*VLOOKUP('Données projet'!$B$11,Paramètres!$A$1:$I$89,5,0)</f>
        <v>254.97263999999996</v>
      </c>
      <c r="BF64" s="14">
        <f t="shared" si="37"/>
        <v>61.649533232533919</v>
      </c>
      <c r="BG64" s="22">
        <f t="shared" si="7"/>
        <v>551.45028504666311</v>
      </c>
      <c r="BH64" s="60">
        <f t="shared" si="8"/>
        <v>844.78361837999637</v>
      </c>
      <c r="BI64" s="60">
        <f ca="1">AVERAGE(OFFSET($BH$3,0,0,'Données projet'!$E$11+1,1))-AVERAGE(OFFSET($H$3,0,0,'Données projet'!$E$11+1,1))</f>
        <v>529.25712986118265</v>
      </c>
      <c r="BJ64" s="60">
        <f t="shared" si="38"/>
        <v>278.21741231699929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>
        <f>EXP(-LN(2)/35)*BP63+(1-EXP(-LN(2)/35))/(LN(2)/35)*BL64*BM64*VLOOKUP('Données projet'!$B$11,Paramètres!$A$1:$I$89,3,0)*0.475*44/12</f>
        <v>0</v>
      </c>
      <c r="BQ64" s="23">
        <f>EXP(-LN(2)/25)*BQ63+(1-EXP(-LN(2)/25))/(LN(2)/25)*Calculateur!BL64*Calculateur!BN64*VLOOKUP('Données projet'!$B$11,Paramètres!$A$1:$I$89,3,0)*0.475*44/12</f>
        <v>0</v>
      </c>
      <c r="BR64" s="23">
        <f>EXP(-LN(2)/2)*BR63+(1-EXP(-LN(2)/2))/(LN(2)/2)*BL64*BO64*VLOOKUP('Données projet'!$B$11,Paramètres!$A$1:$I$89,3,0)*0.475*44/12</f>
        <v>0</v>
      </c>
      <c r="BS64" s="24">
        <f t="shared" si="9"/>
        <v>0</v>
      </c>
      <c r="BT64" s="77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8.8000000000000007</v>
      </c>
      <c r="BY64" s="13">
        <f>IF('Données projet'!$A$114&gt;35,BY63+BX64-CG63,IF(A64&lt;'Données projet'!$A$114,$BV$205^A64,IF(A64='Données projet'!$A$114,'Données projet'!$B$114,BY63+BX64-CG63)))</f>
        <v>281.79999999999995</v>
      </c>
      <c r="BZ64" s="14">
        <f>BY64*VLOOKUP('Données projet'!$B$12,Paramètres!$A$1:$I$89,3,0)*VLOOKUP('Données projet'!$B$12,Paramètres!$A$1:$I$89,5,0)</f>
        <v>285.74520000000001</v>
      </c>
      <c r="CA64" s="14">
        <f t="shared" si="39"/>
        <v>68.179695862275295</v>
      </c>
      <c r="CB64" s="22">
        <f t="shared" si="10"/>
        <v>616.41919362679607</v>
      </c>
      <c r="CC64" s="60">
        <f t="shared" si="11"/>
        <v>909.75252696012944</v>
      </c>
      <c r="CD64" s="60">
        <f ca="1">AVERAGE(OFFSET($CC$3,0,0,'Données projet'!$E$12+1,1))-AVERAGE(OFFSET($H$3,0,0,'Données projet'!$E$12+1,1))</f>
        <v>587.74247372331615</v>
      </c>
      <c r="CE64" s="60">
        <f t="shared" si="40"/>
        <v>306.61893266146666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>
        <f>EXP(-LN(2)/35)*CK63+(1-EXP(-LN(2)/35))/(LN(2)/35)*CG64*CH64*VLOOKUP('Données projet'!$B$12,Paramètres!$A$1:$I$89,3,0)*0.475*44/12</f>
        <v>0</v>
      </c>
      <c r="CL64" s="23">
        <f>EXP(-LN(2)/25)*CL63+(1-EXP(-LN(2)/25))/(LN(2)/25)*Calculateur!CG64*Calculateur!CI64*VLOOKUP('Données projet'!$B$12,Paramètres!$A$1:$I$89,3,0)*0.475*44/12</f>
        <v>0</v>
      </c>
      <c r="CM64" s="23">
        <f>EXP(-LN(2)/2)*CM63+(1-EXP(-LN(2)/2))/(LN(2)/2)*CG64*CJ64*VLOOKUP('Données projet'!$B$12,Paramètres!$A$1:$I$89,3,0)*0.475*44/12</f>
        <v>0</v>
      </c>
      <c r="CN64" s="24">
        <f t="shared" si="12"/>
        <v>0</v>
      </c>
      <c r="CO64" s="77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8.8000000000000007</v>
      </c>
      <c r="CT64" s="13">
        <f>IF('Données projet'!$A$140&gt;35,CT63+CS64-DB63,IF(A64&lt;'Données projet'!$A$140,$CQ$205^A64,IF(A64='Données projet'!$A$140,'Données projet'!$B$140,CT63+CS64-DB63)))</f>
        <v>281.79999999999995</v>
      </c>
      <c r="CU64" s="18">
        <f>CT64*VLOOKUP('Données projet'!$B$13,Paramètres!$A$1:$I$89,3,0)*VLOOKUP('Données projet'!$B$13,Paramètres!$A$1:$I$89,5,0)</f>
        <v>303.32951999999995</v>
      </c>
      <c r="CV64" s="14">
        <f t="shared" si="41"/>
        <v>71.874009753254171</v>
      </c>
      <c r="CW64" s="22">
        <f t="shared" si="13"/>
        <v>653.47948098691757</v>
      </c>
      <c r="CX64" s="60">
        <f t="shared" si="14"/>
        <v>946.81281432025094</v>
      </c>
      <c r="CY64" s="60">
        <f ca="1">AVERAGE(OFFSET($CX$3,0,0,'Données projet'!$E$13+1,1))-AVERAGE(OFFSET($H$3,0,0,'Données projet'!$E$13+1,1))</f>
        <v>621.10465023992288</v>
      </c>
      <c r="CZ64" s="60">
        <f t="shared" si="42"/>
        <v>322.81767004794284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>
        <f>EXP(-LN(2)/35)*DF63+(1-EXP(-LN(2)/35))/(LN(2)/35)*DB64*DC64*VLOOKUP('Données projet'!$B$13,Paramètres!$A$1:$I$89,3,0)*0.475*44/12</f>
        <v>0</v>
      </c>
      <c r="DG64" s="23">
        <f>EXP(-LN(2)/25)*DG63+(1-EXP(-LN(2)/25))/(LN(2)/25)*Calculateur!DB64*Calculateur!DD64*VLOOKUP('Données projet'!$B$13,Paramètres!$A$1:$I$89,3,0)*0.475*44/12</f>
        <v>0</v>
      </c>
      <c r="DH64" s="23">
        <f>EXP(-LN(2)/2)*DH63+(1-EXP(-LN(2)/2))/(LN(2)/2)*DB64*DE64*VLOOKUP('Données projet'!$B$13,Paramètres!$A$1:$I$89,3,0)*0.475*44/12</f>
        <v>0</v>
      </c>
      <c r="DI64" s="24">
        <f t="shared" si="15"/>
        <v>0</v>
      </c>
      <c r="DJ64" s="77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8.8000000000000007</v>
      </c>
      <c r="DO64" s="13">
        <f>IF('Données projet'!$A$166&gt;35,DO63+DN64-DW63,IF(A64&lt;'Données projet'!$A$166,$DL$205^A64,IF(A64='Données projet'!$A$166,'Données projet'!$B$166,DO63+DN64-DW63)))</f>
        <v>281.79999999999995</v>
      </c>
      <c r="DP64" s="18">
        <f>DO64*VLOOKUP('Données projet'!$B$14,Paramètres!$A$1:$I$89,3,0)*VLOOKUP('Données projet'!$B$14,Paramètres!$A$1:$I$89,5,0)</f>
        <v>272.55696</v>
      </c>
      <c r="DQ64" s="14">
        <f t="shared" si="43"/>
        <v>65.391622690449097</v>
      </c>
      <c r="DR64" s="22">
        <f t="shared" si="16"/>
        <v>588.59378151919873</v>
      </c>
      <c r="DS64" s="60">
        <f t="shared" si="17"/>
        <v>881.92711485253199</v>
      </c>
      <c r="DT64" s="60">
        <f ca="1">AVERAGE(OFFSET($DS$3,0,0,'Données projet'!$E$14+1,1))-AVERAGE(OFFSET($H$3,0,0,'Données projet'!$E$14+1,1))</f>
        <v>562.69380557620775</v>
      </c>
      <c r="DU64" s="60">
        <f t="shared" si="44"/>
        <v>294.45557293177131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>
        <f>EXP(-LN(2)/35)*EA63+(1-EXP(-LN(2)/35))/(LN(2)/35)*DW64*DX64*VLOOKUP('Données projet'!$B$14,Paramètres!$A$1:$I$89,3,0)*0.475*44/12</f>
        <v>0</v>
      </c>
      <c r="EB64" s="23">
        <f>EXP(-LN(2)/25)*EB63+(1-EXP(-LN(2)/25))/(LN(2)/25)*Calculateur!DW64*Calculateur!DY64*VLOOKUP('Données projet'!$B$14,Paramètres!$A$1:$I$89,3,0)*0.475*44/12</f>
        <v>0</v>
      </c>
      <c r="EC64" s="23">
        <f>EXP(-LN(2)/2)*EC63+(1-EXP(-LN(2)/2))/(LN(2)/2)*DW64*DZ64*VLOOKUP('Données projet'!$B$14,Paramètres!$A$1:$I$89,3,0)*0.475*44/12</f>
        <v>0</v>
      </c>
      <c r="ED64" s="24">
        <f t="shared" si="18"/>
        <v>0</v>
      </c>
      <c r="EE64" s="77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8.6666666666666661</v>
      </c>
      <c r="EJ64" s="13">
        <f>IF('Données projet'!$A$192&gt;35,EJ63+EI64-ER63,IF(A64&lt;'Données projet'!$A$192,$EG$205^A64,IF(A64='Données projet'!$A$192,'Données projet'!$B$192,EJ63+EI64-ER63)))</f>
        <v>258.66666666666663</v>
      </c>
      <c r="EK64" s="18">
        <f>EJ64*VLOOKUP('Données projet'!$B$15,Paramètres!$A$1:$I$89,3,0)*VLOOKUP('Données projet'!$B$15,Paramètres!$A$1:$I$89,5,0)</f>
        <v>201.76</v>
      </c>
      <c r="EL64" s="14">
        <f t="shared" si="45"/>
        <v>50.130765000424212</v>
      </c>
      <c r="EM64" s="22">
        <f t="shared" si="19"/>
        <v>438.70974904240546</v>
      </c>
      <c r="EN64" s="60">
        <f t="shared" si="20"/>
        <v>732.04308237573878</v>
      </c>
      <c r="EO64" s="60">
        <f ca="1">AVERAGE(OFFSET($EN$3,0,0,'Données projet'!$E$15+1,1))-AVERAGE(OFFSET($H$3,0,0,'Données projet'!$E$15+1,1))</f>
        <v>292.57482726862594</v>
      </c>
      <c r="EP64" s="60">
        <f t="shared" si="46"/>
        <v>283.48738729114024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>
        <f>EXP(-LN(2)/35)*EV63+(1-EXP(-LN(2)/35))/(LN(2)/35)*ER64*ES64*VLOOKUP('Données projet'!$B$15,Paramètres!$A$1:$I$89,3,0)*0.475*44/12</f>
        <v>0</v>
      </c>
      <c r="EW64" s="23">
        <f>EXP(-LN(2)/25)*EW63+(1-EXP(-LN(2)/25))/(LN(2)/25)*Calculateur!ER64*Calculateur!ET64*VLOOKUP('Données projet'!$B$15,Paramètres!$A$1:$I$89,3,0)*0.475*44/12</f>
        <v>0</v>
      </c>
      <c r="EX64" s="23">
        <f>EXP(-LN(2)/2)*EX63+(1-EXP(-LN(2)/2))/(LN(2)/2)*ER64*EU64*VLOOKUP('Données projet'!$B$15,Paramètres!$A$1:$I$89,3,0)*0.475*44/12</f>
        <v>0</v>
      </c>
      <c r="EY64" s="24">
        <f t="shared" si="21"/>
        <v>0</v>
      </c>
      <c r="EZ64" s="77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0" t="e">
        <f t="shared" si="23"/>
        <v>#N/A</v>
      </c>
      <c r="FJ64" s="60" t="e">
        <f ca="1">AVERAGE(OFFSET($FI$3,0,0,'Données projet'!$E$16+1,1))-AVERAGE(OFFSET($H$3,0,0,'Données projet'!$E$16+1,1))</f>
        <v>#N/A</v>
      </c>
      <c r="FK64" s="60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77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0" t="e">
        <f t="shared" si="26"/>
        <v>#N/A</v>
      </c>
      <c r="GE64" s="60" t="e">
        <f ca="1">AVERAGE(OFFSET($GD$3,0,0,'Données projet'!$E$17+1,1))-AVERAGE(OFFSET($H$3,0,0,'Données projet'!$E$17+1,1))</f>
        <v>#N/A</v>
      </c>
      <c r="GF64" s="60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77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0" t="e">
        <f t="shared" si="29"/>
        <v>#N/A</v>
      </c>
      <c r="GZ64" s="60" t="e">
        <f ca="1">AVERAGE(OFFSET($GY$3,0,0,'Données projet'!$E$18+1,1))-AVERAGE(OFFSET($H$3,0,0,'Données projet'!$E$18+1,1))</f>
        <v>#N/A</v>
      </c>
      <c r="HA64" s="60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25">
      <c r="A65" s="11">
        <f t="shared" si="31"/>
        <v>62</v>
      </c>
      <c r="B65" s="74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2">
        <f t="shared" si="32"/>
        <v>0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0</v>
      </c>
      <c r="H65" s="67">
        <f t="shared" si="1"/>
        <v>256.66666666666669</v>
      </c>
      <c r="I65" s="7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5</v>
      </c>
      <c r="N65" s="14">
        <f>IF('Données projet'!$A$36&gt;35,N64+M65-V64,IF(A65&lt;'Données projet'!$A$36,$K$205^A65,IF(A65='Données projet'!$A$36,'Données projet'!$B$36,N64+M65-V64)))</f>
        <v>201.02564102564094</v>
      </c>
      <c r="O65" s="14">
        <f>N65*VLOOKUP('Données projet'!$B$9,Paramètres!$A$1:$I$89,3,0)*VLOOKUP('Données projet'!$B$9,Paramètres!$A$1:$I$89,5,0)</f>
        <v>191.29599999999994</v>
      </c>
      <c r="P65" s="14">
        <f t="shared" si="33"/>
        <v>47.826366590958408</v>
      </c>
      <c r="Q65" s="22">
        <f t="shared" si="53"/>
        <v>416.47145514591904</v>
      </c>
      <c r="R65" s="60">
        <f t="shared" si="0"/>
        <v>709.80478847925235</v>
      </c>
      <c r="S65" s="60">
        <f ca="1">AVERAGE(OFFSET($R$3,0,0,'Données projet'!$E$9+1,1))-AVERAGE(OFFSET($H$3,0,0,'Données projet'!$E$9+1,1))</f>
        <v>403.49781966317852</v>
      </c>
      <c r="T65" s="60">
        <f t="shared" si="34"/>
        <v>326.06674572505409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0</v>
      </c>
      <c r="AA65" s="23">
        <f>EXP(-LN(2)/25)*AA64+(1-EXP(-LN(2)/25))/(LN(2)/25)*Calculateur!V65*Calculateur!X65*VLOOKUP('Données projet'!$B$9,Paramètres!$A$1:$I$89,3,0)*0.475*44/12</f>
        <v>0</v>
      </c>
      <c r="AB65" s="23">
        <f>EXP(-LN(2)/2)*AB64+(1-EXP(-LN(2)/2))/(LN(2)/2)*V65*Y65*VLOOKUP('Données projet'!$B$9,Paramètres!$A$1:$I$89,3,0)*0.475*44/12</f>
        <v>0</v>
      </c>
      <c r="AC65" s="24">
        <f t="shared" si="3"/>
        <v>0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3.2</v>
      </c>
      <c r="AI65" s="14">
        <f>IF('Données projet'!$A$62&gt;35,AI64+AH65-AQ64,IF(A65&lt;'Données projet'!$A$62,$AF$205^A65,IF(A65='Données projet'!$A$62,'Données projet'!$B$62,AI64+AH65-AQ64)))</f>
        <v>201.39999999999992</v>
      </c>
      <c r="AJ65" s="14">
        <f>AI65*VLOOKUP('Données projet'!$B$10,Paramètres!$A$1:$I$89,3,0)*VLOOKUP('Données projet'!$B$10,Paramètres!$A$1:$I$89,5,0)</f>
        <v>175.94303999999994</v>
      </c>
      <c r="AK65" s="14">
        <f t="shared" si="35"/>
        <v>44.418393276556458</v>
      </c>
      <c r="AL65" s="22">
        <f t="shared" si="4"/>
        <v>383.79616295666898</v>
      </c>
      <c r="AM65" s="60">
        <f t="shared" si="5"/>
        <v>677.12949629000229</v>
      </c>
      <c r="AN65" s="60">
        <f ca="1">AVERAGE(OFFSET($AM$3,0,0,'Données projet'!$E$10+1,1))-AVERAGE(OFFSET($H$3,0,0,'Données projet'!$E$10+1,1))</f>
        <v>274.66236526869056</v>
      </c>
      <c r="AO65" s="60">
        <f t="shared" si="36"/>
        <v>256.90876395053073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>
        <f>EXP(-LN(2)/35)*AU64+(1-EXP(-LN(2)/35))/(LN(2)/35)*AQ65*AR65*VLOOKUP('Données projet'!$B$10,Paramètres!$A$1:$I$89,3,0)*0.475*44/12</f>
        <v>0</v>
      </c>
      <c r="AV65" s="23">
        <f>EXP(-LN(2)/25)*AV64+(1-EXP(-LN(2)/25))/(LN(2)/25)*Calculateur!AQ65*Calculateur!AS65*VLOOKUP('Données projet'!$B$10,Paramètres!$A$1:$I$89,3,0)*0.475*44/12</f>
        <v>0</v>
      </c>
      <c r="AW65" s="23">
        <f>EXP(-LN(2)/2)*AW64+(1-EXP(-LN(2)/2))/(LN(2)/2)*AQ65*AT65*VLOOKUP('Données projet'!$B$10,Paramètres!$A$1:$I$89,3,0)*0.475*44/12</f>
        <v>0</v>
      </c>
      <c r="AX65" s="23">
        <f t="shared" si="6"/>
        <v>0</v>
      </c>
      <c r="AY65" s="76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8.8000000000000007</v>
      </c>
      <c r="BD65" s="13">
        <f>IF('Données projet'!$A$88&gt;35,BD64+BC65-BL64,IF(A65&lt;'Données projet'!$A$88,$BA$205^A65,IF(A65='Données projet'!$A$88,'Données projet'!$B$88,BD64+BC65-BL64)))</f>
        <v>290.59999999999997</v>
      </c>
      <c r="BE65" s="14">
        <f>BD65*VLOOKUP('Données projet'!$B$11,Paramètres!$A$1:$I$89,3,0)*VLOOKUP('Données projet'!$B$11,Paramètres!$A$1:$I$89,5,0)</f>
        <v>262.93487999999996</v>
      </c>
      <c r="BF65" s="14">
        <f t="shared" si="37"/>
        <v>63.347566493432765</v>
      </c>
      <c r="BG65" s="22">
        <f t="shared" si="7"/>
        <v>568.27526097606199</v>
      </c>
      <c r="BH65" s="60">
        <f t="shared" si="8"/>
        <v>861.60859430939536</v>
      </c>
      <c r="BI65" s="60">
        <f ca="1">AVERAGE(OFFSET($BH$3,0,0,'Données projet'!$E$11+1,1))-AVERAGE(OFFSET($H$3,0,0,'Données projet'!$E$11+1,1))</f>
        <v>529.25712986118265</v>
      </c>
      <c r="BJ65" s="60">
        <f t="shared" si="38"/>
        <v>278.21741231699929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>
        <f>EXP(-LN(2)/35)*BP64+(1-EXP(-LN(2)/35))/(LN(2)/35)*BL65*BM65*VLOOKUP('Données projet'!$B$11,Paramètres!$A$1:$I$89,3,0)*0.475*44/12</f>
        <v>0</v>
      </c>
      <c r="BQ65" s="23">
        <f>EXP(-LN(2)/25)*BQ64+(1-EXP(-LN(2)/25))/(LN(2)/25)*Calculateur!BL65*Calculateur!BN65*VLOOKUP('Données projet'!$B$11,Paramètres!$A$1:$I$89,3,0)*0.475*44/12</f>
        <v>0</v>
      </c>
      <c r="BR65" s="23">
        <f>EXP(-LN(2)/2)*BR64+(1-EXP(-LN(2)/2))/(LN(2)/2)*BL65*BO65*VLOOKUP('Données projet'!$B$11,Paramètres!$A$1:$I$89,3,0)*0.475*44/12</f>
        <v>0</v>
      </c>
      <c r="BS65" s="24">
        <f t="shared" si="9"/>
        <v>0</v>
      </c>
      <c r="BT65" s="77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8.8000000000000007</v>
      </c>
      <c r="BY65" s="13">
        <f>IF('Données projet'!$A$114&gt;35,BY64+BX65-CG64,IF(A65&lt;'Données projet'!$A$114,$BV$205^A65,IF(A65='Données projet'!$A$114,'Données projet'!$B$114,BY64+BX65-CG64)))</f>
        <v>290.59999999999997</v>
      </c>
      <c r="BZ65" s="14">
        <f>BY65*VLOOKUP('Données projet'!$B$12,Paramètres!$A$1:$I$89,3,0)*VLOOKUP('Données projet'!$B$12,Paramètres!$A$1:$I$89,5,0)</f>
        <v>294.66839999999996</v>
      </c>
      <c r="CA65" s="14">
        <f t="shared" si="39"/>
        <v>70.057591528661547</v>
      </c>
      <c r="CB65" s="22">
        <f t="shared" si="10"/>
        <v>635.23110191241869</v>
      </c>
      <c r="CC65" s="60">
        <f t="shared" si="11"/>
        <v>928.56443524575207</v>
      </c>
      <c r="CD65" s="60">
        <f ca="1">AVERAGE(OFFSET($CC$3,0,0,'Données projet'!$E$12+1,1))-AVERAGE(OFFSET($H$3,0,0,'Données projet'!$E$12+1,1))</f>
        <v>587.74247372331615</v>
      </c>
      <c r="CE65" s="60">
        <f t="shared" si="40"/>
        <v>306.61893266146666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>
        <f>EXP(-LN(2)/35)*CK64+(1-EXP(-LN(2)/35))/(LN(2)/35)*CG65*CH65*VLOOKUP('Données projet'!$B$12,Paramètres!$A$1:$I$89,3,0)*0.475*44/12</f>
        <v>0</v>
      </c>
      <c r="CL65" s="23">
        <f>EXP(-LN(2)/25)*CL64+(1-EXP(-LN(2)/25))/(LN(2)/25)*Calculateur!CG65*Calculateur!CI65*VLOOKUP('Données projet'!$B$12,Paramètres!$A$1:$I$89,3,0)*0.475*44/12</f>
        <v>0</v>
      </c>
      <c r="CM65" s="23">
        <f>EXP(-LN(2)/2)*CM64+(1-EXP(-LN(2)/2))/(LN(2)/2)*CG65*CJ65*VLOOKUP('Données projet'!$B$12,Paramètres!$A$1:$I$89,3,0)*0.475*44/12</f>
        <v>0</v>
      </c>
      <c r="CN65" s="24">
        <f t="shared" si="12"/>
        <v>0</v>
      </c>
      <c r="CO65" s="77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8.8000000000000007</v>
      </c>
      <c r="CT65" s="13">
        <f>IF('Données projet'!$A$140&gt;35,CT64+CS65-DB64,IF(A65&lt;'Données projet'!$A$140,$CQ$205^A65,IF(A65='Données projet'!$A$140,'Données projet'!$B$140,CT64+CS65-DB64)))</f>
        <v>290.59999999999997</v>
      </c>
      <c r="CU65" s="18">
        <f>CT65*VLOOKUP('Données projet'!$B$13,Paramètres!$A$1:$I$89,3,0)*VLOOKUP('Données projet'!$B$13,Paramètres!$A$1:$I$89,5,0)</f>
        <v>312.80183999999991</v>
      </c>
      <c r="CV65" s="14">
        <f t="shared" si="41"/>
        <v>73.853659115640383</v>
      </c>
      <c r="CW65" s="22">
        <f t="shared" si="13"/>
        <v>673.42499429307338</v>
      </c>
      <c r="CX65" s="60">
        <f t="shared" si="14"/>
        <v>966.75832762640675</v>
      </c>
      <c r="CY65" s="60">
        <f ca="1">AVERAGE(OFFSET($CX$3,0,0,'Données projet'!$E$13+1,1))-AVERAGE(OFFSET($H$3,0,0,'Données projet'!$E$13+1,1))</f>
        <v>621.10465023992288</v>
      </c>
      <c r="CZ65" s="60">
        <f t="shared" si="42"/>
        <v>322.81767004794284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>
        <f>EXP(-LN(2)/35)*DF64+(1-EXP(-LN(2)/35))/(LN(2)/35)*DB65*DC65*VLOOKUP('Données projet'!$B$13,Paramètres!$A$1:$I$89,3,0)*0.475*44/12</f>
        <v>0</v>
      </c>
      <c r="DG65" s="23">
        <f>EXP(-LN(2)/25)*DG64+(1-EXP(-LN(2)/25))/(LN(2)/25)*Calculateur!DB65*Calculateur!DD65*VLOOKUP('Données projet'!$B$13,Paramètres!$A$1:$I$89,3,0)*0.475*44/12</f>
        <v>0</v>
      </c>
      <c r="DH65" s="23">
        <f>EXP(-LN(2)/2)*DH64+(1-EXP(-LN(2)/2))/(LN(2)/2)*DB65*DE65*VLOOKUP('Données projet'!$B$13,Paramètres!$A$1:$I$89,3,0)*0.475*44/12</f>
        <v>0</v>
      </c>
      <c r="DI65" s="24">
        <f t="shared" si="15"/>
        <v>0</v>
      </c>
      <c r="DJ65" s="77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8.8000000000000007</v>
      </c>
      <c r="DO65" s="13">
        <f>IF('Données projet'!$A$166&gt;35,DO64+DN65-DW64,IF(A65&lt;'Données projet'!$A$166,$DL$205^A65,IF(A65='Données projet'!$A$166,'Données projet'!$B$166,DO64+DN65-DW64)))</f>
        <v>290.59999999999997</v>
      </c>
      <c r="DP65" s="18">
        <f>DO65*VLOOKUP('Données projet'!$B$14,Paramètres!$A$1:$I$89,3,0)*VLOOKUP('Données projet'!$B$14,Paramètres!$A$1:$I$89,5,0)</f>
        <v>281.06831999999997</v>
      </c>
      <c r="DQ65" s="14">
        <f t="shared" si="43"/>
        <v>67.19272554541665</v>
      </c>
      <c r="DR65" s="22">
        <f t="shared" si="16"/>
        <v>606.55465432493395</v>
      </c>
      <c r="DS65" s="60">
        <f t="shared" si="17"/>
        <v>899.88798765826732</v>
      </c>
      <c r="DT65" s="60">
        <f ca="1">AVERAGE(OFFSET($DS$3,0,0,'Données projet'!$E$14+1,1))-AVERAGE(OFFSET($H$3,0,0,'Données projet'!$E$14+1,1))</f>
        <v>562.69380557620775</v>
      </c>
      <c r="DU65" s="60">
        <f t="shared" si="44"/>
        <v>294.45557293177131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>
        <f>EXP(-LN(2)/35)*EA64+(1-EXP(-LN(2)/35))/(LN(2)/35)*DW65*DX65*VLOOKUP('Données projet'!$B$14,Paramètres!$A$1:$I$89,3,0)*0.475*44/12</f>
        <v>0</v>
      </c>
      <c r="EB65" s="23">
        <f>EXP(-LN(2)/25)*EB64+(1-EXP(-LN(2)/25))/(LN(2)/25)*Calculateur!DW65*Calculateur!DY65*VLOOKUP('Données projet'!$B$14,Paramètres!$A$1:$I$89,3,0)*0.475*44/12</f>
        <v>0</v>
      </c>
      <c r="EC65" s="23">
        <f>EXP(-LN(2)/2)*EC64+(1-EXP(-LN(2)/2))/(LN(2)/2)*DW65*DZ65*VLOOKUP('Données projet'!$B$14,Paramètres!$A$1:$I$89,3,0)*0.475*44/12</f>
        <v>0</v>
      </c>
      <c r="ED65" s="24">
        <f t="shared" si="18"/>
        <v>0</v>
      </c>
      <c r="EE65" s="77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8.6666666666666661</v>
      </c>
      <c r="EJ65" s="13">
        <f>IF('Données projet'!$A$192&gt;35,EJ64+EI65-ER64,IF(A65&lt;'Données projet'!$A$192,$EG$205^A65,IF(A65='Données projet'!$A$192,'Données projet'!$B$192,EJ64+EI65-ER64)))</f>
        <v>267.33333333333331</v>
      </c>
      <c r="EK65" s="18">
        <f>EJ65*VLOOKUP('Données projet'!$B$15,Paramètres!$A$1:$I$89,3,0)*VLOOKUP('Données projet'!$B$15,Paramètres!$A$1:$I$89,5,0)</f>
        <v>208.51999999999998</v>
      </c>
      <c r="EL65" s="14">
        <f t="shared" si="45"/>
        <v>51.612035456318509</v>
      </c>
      <c r="EM65" s="22">
        <f t="shared" si="19"/>
        <v>453.06329508642131</v>
      </c>
      <c r="EN65" s="60">
        <f t="shared" si="20"/>
        <v>746.39662841975462</v>
      </c>
      <c r="EO65" s="60">
        <f ca="1">AVERAGE(OFFSET($EN$3,0,0,'Données projet'!$E$15+1,1))-AVERAGE(OFFSET($H$3,0,0,'Données projet'!$E$15+1,1))</f>
        <v>292.57482726862594</v>
      </c>
      <c r="EP65" s="60">
        <f t="shared" si="46"/>
        <v>283.48738729114024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>
        <f>EXP(-LN(2)/35)*EV64+(1-EXP(-LN(2)/35))/(LN(2)/35)*ER65*ES65*VLOOKUP('Données projet'!$B$15,Paramètres!$A$1:$I$89,3,0)*0.475*44/12</f>
        <v>0</v>
      </c>
      <c r="EW65" s="23">
        <f>EXP(-LN(2)/25)*EW64+(1-EXP(-LN(2)/25))/(LN(2)/25)*Calculateur!ER65*Calculateur!ET65*VLOOKUP('Données projet'!$B$15,Paramètres!$A$1:$I$89,3,0)*0.475*44/12</f>
        <v>0</v>
      </c>
      <c r="EX65" s="23">
        <f>EXP(-LN(2)/2)*EX64+(1-EXP(-LN(2)/2))/(LN(2)/2)*ER65*EU65*VLOOKUP('Données projet'!$B$15,Paramètres!$A$1:$I$89,3,0)*0.475*44/12</f>
        <v>0</v>
      </c>
      <c r="EY65" s="24">
        <f t="shared" si="21"/>
        <v>0</v>
      </c>
      <c r="EZ65" s="77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0" t="e">
        <f t="shared" si="23"/>
        <v>#N/A</v>
      </c>
      <c r="FJ65" s="60" t="e">
        <f ca="1">AVERAGE(OFFSET($FI$3,0,0,'Données projet'!$E$16+1,1))-AVERAGE(OFFSET($H$3,0,0,'Données projet'!$E$16+1,1))</f>
        <v>#N/A</v>
      </c>
      <c r="FK65" s="60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77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0" t="e">
        <f t="shared" si="26"/>
        <v>#N/A</v>
      </c>
      <c r="GE65" s="60" t="e">
        <f ca="1">AVERAGE(OFFSET($GD$3,0,0,'Données projet'!$E$17+1,1))-AVERAGE(OFFSET($H$3,0,0,'Données projet'!$E$17+1,1))</f>
        <v>#N/A</v>
      </c>
      <c r="GF65" s="60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77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0" t="e">
        <f t="shared" si="29"/>
        <v>#N/A</v>
      </c>
      <c r="GZ65" s="60" t="e">
        <f ca="1">AVERAGE(OFFSET($GY$3,0,0,'Données projet'!$E$18+1,1))-AVERAGE(OFFSET($H$3,0,0,'Données projet'!$E$18+1,1))</f>
        <v>#N/A</v>
      </c>
      <c r="HA65" s="60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25">
      <c r="A66" s="11">
        <f t="shared" si="31"/>
        <v>63</v>
      </c>
      <c r="B66" s="74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2">
        <f t="shared" si="32"/>
        <v>0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0</v>
      </c>
      <c r="H66" s="67">
        <f t="shared" si="1"/>
        <v>256.66666666666669</v>
      </c>
      <c r="I66" s="7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5</v>
      </c>
      <c r="N66" s="14">
        <f>IF('Données projet'!$A$36&gt;35,N65+M66-V65,IF(A66&lt;'Données projet'!$A$36,$K$205^A66,IF(A66='Données projet'!$A$36,'Données projet'!$B$36,N65+M66-V65)))</f>
        <v>206.02564102564094</v>
      </c>
      <c r="O66" s="14">
        <f>N66*VLOOKUP('Données projet'!$B$9,Paramètres!$A$1:$I$89,3,0)*VLOOKUP('Données projet'!$B$9,Paramètres!$A$1:$I$89,5,0)</f>
        <v>196.05399999999992</v>
      </c>
      <c r="P66" s="14">
        <f t="shared" si="33"/>
        <v>48.875953163572923</v>
      </c>
      <c r="Q66" s="22">
        <f t="shared" si="53"/>
        <v>426.58633509322271</v>
      </c>
      <c r="R66" s="60">
        <f t="shared" si="0"/>
        <v>719.91966842655597</v>
      </c>
      <c r="S66" s="60">
        <f ca="1">AVERAGE(OFFSET($R$3,0,0,'Données projet'!$E$9+1,1))-AVERAGE(OFFSET($H$3,0,0,'Données projet'!$E$9+1,1))</f>
        <v>403.49781966317852</v>
      </c>
      <c r="T66" s="60">
        <f t="shared" si="34"/>
        <v>326.06674572505409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0</v>
      </c>
      <c r="AA66" s="23">
        <f>EXP(-LN(2)/25)*AA65+(1-EXP(-LN(2)/25))/(LN(2)/25)*Calculateur!V66*Calculateur!X66*VLOOKUP('Données projet'!$B$9,Paramètres!$A$1:$I$89,3,0)*0.475*44/12</f>
        <v>0</v>
      </c>
      <c r="AB66" s="23">
        <f>EXP(-LN(2)/2)*AB65+(1-EXP(-LN(2)/2))/(LN(2)/2)*V66*Y66*VLOOKUP('Données projet'!$B$9,Paramètres!$A$1:$I$89,3,0)*0.475*44/12</f>
        <v>0</v>
      </c>
      <c r="AC66" s="24">
        <f t="shared" si="3"/>
        <v>0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3.2</v>
      </c>
      <c r="AI66" s="14">
        <f>IF('Données projet'!$A$62&gt;35,AI65+AH66-AQ65,IF(A66&lt;'Données projet'!$A$62,$AF$205^A66,IF(A66='Données projet'!$A$62,'Données projet'!$B$62,AI65+AH66-AQ65)))</f>
        <v>204.59999999999991</v>
      </c>
      <c r="AJ66" s="14">
        <f>AI66*VLOOKUP('Données projet'!$B$10,Paramètres!$A$1:$I$89,3,0)*VLOOKUP('Données projet'!$B$10,Paramètres!$A$1:$I$89,5,0)</f>
        <v>178.73855999999995</v>
      </c>
      <c r="AK66" s="14">
        <f t="shared" si="35"/>
        <v>45.041424241265332</v>
      </c>
      <c r="AL66" s="22">
        <f t="shared" si="4"/>
        <v>389.75013922020366</v>
      </c>
      <c r="AM66" s="60">
        <f t="shared" si="5"/>
        <v>683.08347255353692</v>
      </c>
      <c r="AN66" s="60">
        <f ca="1">AVERAGE(OFFSET($AM$3,0,0,'Données projet'!$E$10+1,1))-AVERAGE(OFFSET($H$3,0,0,'Données projet'!$E$10+1,1))</f>
        <v>274.66236526869056</v>
      </c>
      <c r="AO66" s="60">
        <f t="shared" si="36"/>
        <v>256.90876395053073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>
        <f>EXP(-LN(2)/35)*AU65+(1-EXP(-LN(2)/35))/(LN(2)/35)*AQ66*AR66*VLOOKUP('Données projet'!$B$10,Paramètres!$A$1:$I$89,3,0)*0.475*44/12</f>
        <v>0</v>
      </c>
      <c r="AV66" s="23">
        <f>EXP(-LN(2)/25)*AV65+(1-EXP(-LN(2)/25))/(LN(2)/25)*Calculateur!AQ66*Calculateur!AS66*VLOOKUP('Données projet'!$B$10,Paramètres!$A$1:$I$89,3,0)*0.475*44/12</f>
        <v>0</v>
      </c>
      <c r="AW66" s="23">
        <f>EXP(-LN(2)/2)*AW65+(1-EXP(-LN(2)/2))/(LN(2)/2)*AQ66*AT66*VLOOKUP('Données projet'!$B$10,Paramètres!$A$1:$I$89,3,0)*0.475*44/12</f>
        <v>0</v>
      </c>
      <c r="AX66" s="23">
        <f t="shared" si="6"/>
        <v>0</v>
      </c>
      <c r="AY66" s="76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8.8000000000000007</v>
      </c>
      <c r="BD66" s="13">
        <f>IF('Données projet'!$A$88&gt;35,BD65+BC66-BL65,IF(A66&lt;'Données projet'!$A$88,$BA$205^A66,IF(A66='Données projet'!$A$88,'Données projet'!$B$88,BD65+BC66-BL65)))</f>
        <v>299.39999999999998</v>
      </c>
      <c r="BE66" s="14">
        <f>BD66*VLOOKUP('Données projet'!$B$11,Paramètres!$A$1:$I$89,3,0)*VLOOKUP('Données projet'!$B$11,Paramètres!$A$1:$I$89,5,0)</f>
        <v>270.89711999999997</v>
      </c>
      <c r="BF66" s="14">
        <f t="shared" si="37"/>
        <v>65.039624021315475</v>
      </c>
      <c r="BG66" s="22">
        <f t="shared" si="7"/>
        <v>585.08982917045773</v>
      </c>
      <c r="BH66" s="60">
        <f t="shared" si="8"/>
        <v>878.42316250379099</v>
      </c>
      <c r="BI66" s="60">
        <f ca="1">AVERAGE(OFFSET($BH$3,0,0,'Données projet'!$E$11+1,1))-AVERAGE(OFFSET($H$3,0,0,'Données projet'!$E$11+1,1))</f>
        <v>529.25712986118265</v>
      </c>
      <c r="BJ66" s="60">
        <f t="shared" si="38"/>
        <v>278.21741231699929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>
        <f>EXP(-LN(2)/35)*BP65+(1-EXP(-LN(2)/35))/(LN(2)/35)*BL66*BM66*VLOOKUP('Données projet'!$B$11,Paramètres!$A$1:$I$89,3,0)*0.475*44/12</f>
        <v>0</v>
      </c>
      <c r="BQ66" s="23">
        <f>EXP(-LN(2)/25)*BQ65+(1-EXP(-LN(2)/25))/(LN(2)/25)*Calculateur!BL66*Calculateur!BN66*VLOOKUP('Données projet'!$B$11,Paramètres!$A$1:$I$89,3,0)*0.475*44/12</f>
        <v>0</v>
      </c>
      <c r="BR66" s="23">
        <f>EXP(-LN(2)/2)*BR65+(1-EXP(-LN(2)/2))/(LN(2)/2)*BL66*BO66*VLOOKUP('Données projet'!$B$11,Paramètres!$A$1:$I$89,3,0)*0.475*44/12</f>
        <v>0</v>
      </c>
      <c r="BS66" s="24">
        <f t="shared" si="9"/>
        <v>0</v>
      </c>
      <c r="BT66" s="77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8.8000000000000007</v>
      </c>
      <c r="BY66" s="13">
        <f>IF('Données projet'!$A$114&gt;35,BY65+BX66-CG65,IF(A66&lt;'Données projet'!$A$114,$BV$205^A66,IF(A66='Données projet'!$A$114,'Données projet'!$B$114,BY65+BX66-CG65)))</f>
        <v>299.39999999999998</v>
      </c>
      <c r="BZ66" s="14">
        <f>BY66*VLOOKUP('Données projet'!$B$12,Paramètres!$A$1:$I$89,3,0)*VLOOKUP('Données projet'!$B$12,Paramètres!$A$1:$I$89,5,0)</f>
        <v>303.59159999999997</v>
      </c>
      <c r="CA66" s="14">
        <f t="shared" si="39"/>
        <v>71.928878488732749</v>
      </c>
      <c r="CB66" s="22">
        <f t="shared" si="10"/>
        <v>654.03150003454277</v>
      </c>
      <c r="CC66" s="60">
        <f t="shared" si="11"/>
        <v>947.36483336787614</v>
      </c>
      <c r="CD66" s="60">
        <f ca="1">AVERAGE(OFFSET($CC$3,0,0,'Données projet'!$E$12+1,1))-AVERAGE(OFFSET($H$3,0,0,'Données projet'!$E$12+1,1))</f>
        <v>587.74247372331615</v>
      </c>
      <c r="CE66" s="60">
        <f t="shared" si="40"/>
        <v>306.61893266146666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>
        <f>EXP(-LN(2)/35)*CK65+(1-EXP(-LN(2)/35))/(LN(2)/35)*CG66*CH66*VLOOKUP('Données projet'!$B$12,Paramètres!$A$1:$I$89,3,0)*0.475*44/12</f>
        <v>0</v>
      </c>
      <c r="CL66" s="23">
        <f>EXP(-LN(2)/25)*CL65+(1-EXP(-LN(2)/25))/(LN(2)/25)*Calculateur!CG66*Calculateur!CI66*VLOOKUP('Données projet'!$B$12,Paramètres!$A$1:$I$89,3,0)*0.475*44/12</f>
        <v>0</v>
      </c>
      <c r="CM66" s="23">
        <f>EXP(-LN(2)/2)*CM65+(1-EXP(-LN(2)/2))/(LN(2)/2)*CG66*CJ66*VLOOKUP('Données projet'!$B$12,Paramètres!$A$1:$I$89,3,0)*0.475*44/12</f>
        <v>0</v>
      </c>
      <c r="CN66" s="24">
        <f t="shared" si="12"/>
        <v>0</v>
      </c>
      <c r="CO66" s="77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8.8000000000000007</v>
      </c>
      <c r="CT66" s="13">
        <f>IF('Données projet'!$A$140&gt;35,CT65+CS66-DB65,IF(A66&lt;'Données projet'!$A$140,$CQ$205^A66,IF(A66='Données projet'!$A$140,'Données projet'!$B$140,CT65+CS66-DB65)))</f>
        <v>299.39999999999998</v>
      </c>
      <c r="CU66" s="18">
        <f>CT66*VLOOKUP('Données projet'!$B$13,Paramètres!$A$1:$I$89,3,0)*VLOOKUP('Données projet'!$B$13,Paramètres!$A$1:$I$89,5,0)</f>
        <v>322.27415999999994</v>
      </c>
      <c r="CV66" s="14">
        <f t="shared" si="41"/>
        <v>75.826341679243811</v>
      </c>
      <c r="CW66" s="22">
        <f t="shared" si="13"/>
        <v>693.35837375801611</v>
      </c>
      <c r="CX66" s="60">
        <f t="shared" si="14"/>
        <v>986.69170709134937</v>
      </c>
      <c r="CY66" s="60">
        <f ca="1">AVERAGE(OFFSET($CX$3,0,0,'Données projet'!$E$13+1,1))-AVERAGE(OFFSET($H$3,0,0,'Données projet'!$E$13+1,1))</f>
        <v>621.10465023992288</v>
      </c>
      <c r="CZ66" s="60">
        <f t="shared" si="42"/>
        <v>322.81767004794284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>
        <f>EXP(-LN(2)/35)*DF65+(1-EXP(-LN(2)/35))/(LN(2)/35)*DB66*DC66*VLOOKUP('Données projet'!$B$13,Paramètres!$A$1:$I$89,3,0)*0.475*44/12</f>
        <v>0</v>
      </c>
      <c r="DG66" s="23">
        <f>EXP(-LN(2)/25)*DG65+(1-EXP(-LN(2)/25))/(LN(2)/25)*Calculateur!DB66*Calculateur!DD66*VLOOKUP('Données projet'!$B$13,Paramètres!$A$1:$I$89,3,0)*0.475*44/12</f>
        <v>0</v>
      </c>
      <c r="DH66" s="23">
        <f>EXP(-LN(2)/2)*DH65+(1-EXP(-LN(2)/2))/(LN(2)/2)*DB66*DE66*VLOOKUP('Données projet'!$B$13,Paramètres!$A$1:$I$89,3,0)*0.475*44/12</f>
        <v>0</v>
      </c>
      <c r="DI66" s="24">
        <f t="shared" si="15"/>
        <v>0</v>
      </c>
      <c r="DJ66" s="77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8.8000000000000007</v>
      </c>
      <c r="DO66" s="13">
        <f>IF('Données projet'!$A$166&gt;35,DO65+DN66-DW65,IF(A66&lt;'Données projet'!$A$166,$DL$205^A66,IF(A66='Données projet'!$A$166,'Données projet'!$B$166,DO65+DN66-DW65)))</f>
        <v>299.39999999999998</v>
      </c>
      <c r="DP66" s="18">
        <f>DO66*VLOOKUP('Données projet'!$B$14,Paramètres!$A$1:$I$89,3,0)*VLOOKUP('Données projet'!$B$14,Paramètres!$A$1:$I$89,5,0)</f>
        <v>289.57968</v>
      </c>
      <c r="DQ66" s="14">
        <f t="shared" si="43"/>
        <v>68.987489943980663</v>
      </c>
      <c r="DR66" s="22">
        <f t="shared" si="16"/>
        <v>624.504487652433</v>
      </c>
      <c r="DS66" s="60">
        <f t="shared" si="17"/>
        <v>917.83782098576626</v>
      </c>
      <c r="DT66" s="60">
        <f ca="1">AVERAGE(OFFSET($DS$3,0,0,'Données projet'!$E$14+1,1))-AVERAGE(OFFSET($H$3,0,0,'Données projet'!$E$14+1,1))</f>
        <v>562.69380557620775</v>
      </c>
      <c r="DU66" s="60">
        <f t="shared" si="44"/>
        <v>294.45557293177131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>
        <f>EXP(-LN(2)/35)*EA65+(1-EXP(-LN(2)/35))/(LN(2)/35)*DW66*DX66*VLOOKUP('Données projet'!$B$14,Paramètres!$A$1:$I$89,3,0)*0.475*44/12</f>
        <v>0</v>
      </c>
      <c r="EB66" s="23">
        <f>EXP(-LN(2)/25)*EB65+(1-EXP(-LN(2)/25))/(LN(2)/25)*Calculateur!DW66*Calculateur!DY66*VLOOKUP('Données projet'!$B$14,Paramètres!$A$1:$I$89,3,0)*0.475*44/12</f>
        <v>0</v>
      </c>
      <c r="EC66" s="23">
        <f>EXP(-LN(2)/2)*EC65+(1-EXP(-LN(2)/2))/(LN(2)/2)*DW66*DZ66*VLOOKUP('Données projet'!$B$14,Paramètres!$A$1:$I$89,3,0)*0.475*44/12</f>
        <v>0</v>
      </c>
      <c r="ED66" s="24">
        <f t="shared" si="18"/>
        <v>0</v>
      </c>
      <c r="EE66" s="77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8.6666666666666661</v>
      </c>
      <c r="EJ66" s="13">
        <f>IF('Données projet'!$A$192&gt;35,EJ65+EI66-ER65,IF(A66&lt;'Données projet'!$A$192,$EG$205^A66,IF(A66='Données projet'!$A$192,'Données projet'!$B$192,EJ65+EI66-ER65)))</f>
        <v>276</v>
      </c>
      <c r="EK66" s="18">
        <f>EJ66*VLOOKUP('Données projet'!$B$15,Paramètres!$A$1:$I$89,3,0)*VLOOKUP('Données projet'!$B$15,Paramètres!$A$1:$I$89,5,0)</f>
        <v>215.28</v>
      </c>
      <c r="EL66" s="14">
        <f t="shared" si="45"/>
        <v>53.087725740853138</v>
      </c>
      <c r="EM66" s="22">
        <f t="shared" si="19"/>
        <v>467.40712233198587</v>
      </c>
      <c r="EN66" s="60">
        <f t="shared" si="20"/>
        <v>760.74045566531913</v>
      </c>
      <c r="EO66" s="60">
        <f ca="1">AVERAGE(OFFSET($EN$3,0,0,'Données projet'!$E$15+1,1))-AVERAGE(OFFSET($H$3,0,0,'Données projet'!$E$15+1,1))</f>
        <v>292.57482726862594</v>
      </c>
      <c r="EP66" s="60">
        <f t="shared" si="46"/>
        <v>283.48738729114024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>
        <f>EXP(-LN(2)/35)*EV65+(1-EXP(-LN(2)/35))/(LN(2)/35)*ER66*ES66*VLOOKUP('Données projet'!$B$15,Paramètres!$A$1:$I$89,3,0)*0.475*44/12</f>
        <v>0</v>
      </c>
      <c r="EW66" s="23">
        <f>EXP(-LN(2)/25)*EW65+(1-EXP(-LN(2)/25))/(LN(2)/25)*Calculateur!ER66*Calculateur!ET66*VLOOKUP('Données projet'!$B$15,Paramètres!$A$1:$I$89,3,0)*0.475*44/12</f>
        <v>0</v>
      </c>
      <c r="EX66" s="23">
        <f>EXP(-LN(2)/2)*EX65+(1-EXP(-LN(2)/2))/(LN(2)/2)*ER66*EU66*VLOOKUP('Données projet'!$B$15,Paramètres!$A$1:$I$89,3,0)*0.475*44/12</f>
        <v>0</v>
      </c>
      <c r="EY66" s="24">
        <f t="shared" si="21"/>
        <v>0</v>
      </c>
      <c r="EZ66" s="77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0" t="e">
        <f t="shared" si="23"/>
        <v>#N/A</v>
      </c>
      <c r="FJ66" s="60" t="e">
        <f ca="1">AVERAGE(OFFSET($FI$3,0,0,'Données projet'!$E$16+1,1))-AVERAGE(OFFSET($H$3,0,0,'Données projet'!$E$16+1,1))</f>
        <v>#N/A</v>
      </c>
      <c r="FK66" s="60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77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0" t="e">
        <f t="shared" si="26"/>
        <v>#N/A</v>
      </c>
      <c r="GE66" s="60" t="e">
        <f ca="1">AVERAGE(OFFSET($GD$3,0,0,'Données projet'!$E$17+1,1))-AVERAGE(OFFSET($H$3,0,0,'Données projet'!$E$17+1,1))</f>
        <v>#N/A</v>
      </c>
      <c r="GF66" s="60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77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0" t="e">
        <f t="shared" si="29"/>
        <v>#N/A</v>
      </c>
      <c r="GZ66" s="60" t="e">
        <f ca="1">AVERAGE(OFFSET($GY$3,0,0,'Données projet'!$E$18+1,1))-AVERAGE(OFFSET($H$3,0,0,'Données projet'!$E$18+1,1))</f>
        <v>#N/A</v>
      </c>
      <c r="HA66" s="60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25">
      <c r="A67" s="11">
        <f t="shared" si="31"/>
        <v>64</v>
      </c>
      <c r="B67" s="74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2">
        <f t="shared" si="32"/>
        <v>0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0</v>
      </c>
      <c r="H67" s="67">
        <f t="shared" si="1"/>
        <v>256.66666666666669</v>
      </c>
      <c r="I67" s="7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5</v>
      </c>
      <c r="N67" s="14">
        <f>IF('Données projet'!$A$36&gt;35,N66+M67-V66,IF(A67&lt;'Données projet'!$A$36,$K$205^A67,IF(A67='Données projet'!$A$36,'Données projet'!$B$36,N66+M67-V66)))</f>
        <v>211.02564102564094</v>
      </c>
      <c r="O67" s="14">
        <f>N67*VLOOKUP('Données projet'!$B$9,Paramètres!$A$1:$I$89,3,0)*VLOOKUP('Données projet'!$B$9,Paramètres!$A$1:$I$89,5,0)</f>
        <v>200.81199999999993</v>
      </c>
      <c r="P67" s="14">
        <f t="shared" si="33"/>
        <v>49.922578645138138</v>
      </c>
      <c r="Q67" s="22">
        <f t="shared" ref="Q67:Q98" si="54">(O67+P67)*0.475*44/12</f>
        <v>436.69605780694877</v>
      </c>
      <c r="R67" s="60">
        <f t="shared" ref="R67:R130" si="55">Q67+(I67+J67)*44/12</f>
        <v>730.02939114028209</v>
      </c>
      <c r="S67" s="60">
        <f ca="1">AVERAGE(OFFSET($R$3,0,0,'Données projet'!$E$9+1,1))-AVERAGE(OFFSET($H$3,0,0,'Données projet'!$E$9+1,1))</f>
        <v>403.49781966317852</v>
      </c>
      <c r="T67" s="60">
        <f t="shared" si="34"/>
        <v>326.06674572505409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0</v>
      </c>
      <c r="AA67" s="23">
        <f>EXP(-LN(2)/25)*AA66+(1-EXP(-LN(2)/25))/(LN(2)/25)*Calculateur!V67*Calculateur!X67*VLOOKUP('Données projet'!$B$9,Paramètres!$A$1:$I$89,3,0)*0.475*44/12</f>
        <v>0</v>
      </c>
      <c r="AB67" s="23">
        <f>EXP(-LN(2)/2)*AB66+(1-EXP(-LN(2)/2))/(LN(2)/2)*V67*Y67*VLOOKUP('Données projet'!$B$9,Paramètres!$A$1:$I$89,3,0)*0.475*44/12</f>
        <v>0</v>
      </c>
      <c r="AC67" s="24">
        <f t="shared" si="3"/>
        <v>0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3.2</v>
      </c>
      <c r="AI67" s="14">
        <f>IF('Données projet'!$A$62&gt;35,AI66+AH67-AQ66,IF(A67&lt;'Données projet'!$A$62,$AF$205^A67,IF(A67='Données projet'!$A$62,'Données projet'!$B$62,AI66+AH67-AQ66)))</f>
        <v>207.7999999999999</v>
      </c>
      <c r="AJ67" s="14">
        <f>AI67*VLOOKUP('Données projet'!$B$10,Paramètres!$A$1:$I$89,3,0)*VLOOKUP('Données projet'!$B$10,Paramètres!$A$1:$I$89,5,0)</f>
        <v>181.53407999999993</v>
      </c>
      <c r="AK67" s="14">
        <f t="shared" si="35"/>
        <v>45.663321943731859</v>
      </c>
      <c r="AL67" s="22">
        <f t="shared" si="4"/>
        <v>395.70214171866616</v>
      </c>
      <c r="AM67" s="60">
        <f t="shared" si="5"/>
        <v>689.03547505199947</v>
      </c>
      <c r="AN67" s="60">
        <f ca="1">AVERAGE(OFFSET($AM$3,0,0,'Données projet'!$E$10+1,1))-AVERAGE(OFFSET($H$3,0,0,'Données projet'!$E$10+1,1))</f>
        <v>274.66236526869056</v>
      </c>
      <c r="AO67" s="60">
        <f t="shared" si="36"/>
        <v>256.90876395053073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>
        <f>EXP(-LN(2)/35)*AU66+(1-EXP(-LN(2)/35))/(LN(2)/35)*AQ67*AR67*VLOOKUP('Données projet'!$B$10,Paramètres!$A$1:$I$89,3,0)*0.475*44/12</f>
        <v>0</v>
      </c>
      <c r="AV67" s="23">
        <f>EXP(-LN(2)/25)*AV66+(1-EXP(-LN(2)/25))/(LN(2)/25)*Calculateur!AQ67*Calculateur!AS67*VLOOKUP('Données projet'!$B$10,Paramètres!$A$1:$I$89,3,0)*0.475*44/12</f>
        <v>0</v>
      </c>
      <c r="AW67" s="23">
        <f>EXP(-LN(2)/2)*AW66+(1-EXP(-LN(2)/2))/(LN(2)/2)*AQ67*AT67*VLOOKUP('Données projet'!$B$10,Paramètres!$A$1:$I$89,3,0)*0.475*44/12</f>
        <v>0</v>
      </c>
      <c r="AX67" s="23">
        <f t="shared" si="6"/>
        <v>0</v>
      </c>
      <c r="AY67" s="76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8.8000000000000007</v>
      </c>
      <c r="BD67" s="13">
        <f>IF('Données projet'!$A$88&gt;35,BD66+BC67-BL66,IF(A67&lt;'Données projet'!$A$88,$BA$205^A67,IF(A67='Données projet'!$A$88,'Données projet'!$B$88,BD66+BC67-BL66)))</f>
        <v>308.2</v>
      </c>
      <c r="BE67" s="14">
        <f>BD67*VLOOKUP('Données projet'!$B$11,Paramètres!$A$1:$I$89,3,0)*VLOOKUP('Données projet'!$B$11,Paramètres!$A$1:$I$89,5,0)</f>
        <v>278.85935999999998</v>
      </c>
      <c r="BF67" s="14">
        <f t="shared" si="37"/>
        <v>66.725901622172444</v>
      </c>
      <c r="BG67" s="22">
        <f t="shared" si="7"/>
        <v>601.89433065861692</v>
      </c>
      <c r="BH67" s="60">
        <f t="shared" si="8"/>
        <v>895.22766399195029</v>
      </c>
      <c r="BI67" s="60">
        <f ca="1">AVERAGE(OFFSET($BH$3,0,0,'Données projet'!$E$11+1,1))-AVERAGE(OFFSET($H$3,0,0,'Données projet'!$E$11+1,1))</f>
        <v>529.25712986118265</v>
      </c>
      <c r="BJ67" s="60">
        <f t="shared" si="38"/>
        <v>278.21741231699929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>
        <f>EXP(-LN(2)/35)*BP66+(1-EXP(-LN(2)/35))/(LN(2)/35)*BL67*BM67*VLOOKUP('Données projet'!$B$11,Paramètres!$A$1:$I$89,3,0)*0.475*44/12</f>
        <v>0</v>
      </c>
      <c r="BQ67" s="23">
        <f>EXP(-LN(2)/25)*BQ66+(1-EXP(-LN(2)/25))/(LN(2)/25)*Calculateur!BL67*Calculateur!BN67*VLOOKUP('Données projet'!$B$11,Paramètres!$A$1:$I$89,3,0)*0.475*44/12</f>
        <v>0</v>
      </c>
      <c r="BR67" s="23">
        <f>EXP(-LN(2)/2)*BR66+(1-EXP(-LN(2)/2))/(LN(2)/2)*BL67*BO67*VLOOKUP('Données projet'!$B$11,Paramètres!$A$1:$I$89,3,0)*0.475*44/12</f>
        <v>0</v>
      </c>
      <c r="BS67" s="24">
        <f t="shared" si="9"/>
        <v>0</v>
      </c>
      <c r="BT67" s="77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8.8000000000000007</v>
      </c>
      <c r="BY67" s="13">
        <f>IF('Données projet'!$A$114&gt;35,BY66+BX67-CG66,IF(A67&lt;'Données projet'!$A$114,$BV$205^A67,IF(A67='Données projet'!$A$114,'Données projet'!$B$114,BY66+BX67-CG66)))</f>
        <v>308.2</v>
      </c>
      <c r="BZ67" s="14">
        <f>BY67*VLOOKUP('Données projet'!$B$12,Paramètres!$A$1:$I$89,3,0)*VLOOKUP('Données projet'!$B$12,Paramètres!$A$1:$I$89,5,0)</f>
        <v>312.51480000000004</v>
      </c>
      <c r="CA67" s="14">
        <f t="shared" si="39"/>
        <v>73.793773289024969</v>
      </c>
      <c r="CB67" s="22">
        <f t="shared" si="10"/>
        <v>672.82076514505184</v>
      </c>
      <c r="CC67" s="60">
        <f t="shared" si="11"/>
        <v>966.15409847838509</v>
      </c>
      <c r="CD67" s="60">
        <f ca="1">AVERAGE(OFFSET($CC$3,0,0,'Données projet'!$E$12+1,1))-AVERAGE(OFFSET($H$3,0,0,'Données projet'!$E$12+1,1))</f>
        <v>587.74247372331615</v>
      </c>
      <c r="CE67" s="60">
        <f t="shared" si="40"/>
        <v>306.61893266146666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>
        <f>EXP(-LN(2)/35)*CK66+(1-EXP(-LN(2)/35))/(LN(2)/35)*CG67*CH67*VLOOKUP('Données projet'!$B$12,Paramètres!$A$1:$I$89,3,0)*0.475*44/12</f>
        <v>0</v>
      </c>
      <c r="CL67" s="23">
        <f>EXP(-LN(2)/25)*CL66+(1-EXP(-LN(2)/25))/(LN(2)/25)*Calculateur!CG67*Calculateur!CI67*VLOOKUP('Données projet'!$B$12,Paramètres!$A$1:$I$89,3,0)*0.475*44/12</f>
        <v>0</v>
      </c>
      <c r="CM67" s="23">
        <f>EXP(-LN(2)/2)*CM66+(1-EXP(-LN(2)/2))/(LN(2)/2)*CG67*CJ67*VLOOKUP('Données projet'!$B$12,Paramètres!$A$1:$I$89,3,0)*0.475*44/12</f>
        <v>0</v>
      </c>
      <c r="CN67" s="24">
        <f t="shared" si="12"/>
        <v>0</v>
      </c>
      <c r="CO67" s="77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8.8000000000000007</v>
      </c>
      <c r="CT67" s="13">
        <f>IF('Données projet'!$A$140&gt;35,CT66+CS67-DB66,IF(A67&lt;'Données projet'!$A$140,$CQ$205^A67,IF(A67='Données projet'!$A$140,'Données projet'!$B$140,CT66+CS67-DB66)))</f>
        <v>308.2</v>
      </c>
      <c r="CU67" s="18">
        <f>CT67*VLOOKUP('Données projet'!$B$13,Paramètres!$A$1:$I$89,3,0)*VLOOKUP('Données projet'!$B$13,Paramètres!$A$1:$I$89,5,0)</f>
        <v>331.74647999999996</v>
      </c>
      <c r="CV67" s="14">
        <f t="shared" si="41"/>
        <v>77.792285724165268</v>
      </c>
      <c r="CW67" s="22">
        <f t="shared" si="13"/>
        <v>713.28001696958779</v>
      </c>
      <c r="CX67" s="60">
        <f t="shared" si="14"/>
        <v>1006.6133503029212</v>
      </c>
      <c r="CY67" s="60">
        <f ca="1">AVERAGE(OFFSET($CX$3,0,0,'Données projet'!$E$13+1,1))-AVERAGE(OFFSET($H$3,0,0,'Données projet'!$E$13+1,1))</f>
        <v>621.10465023992288</v>
      </c>
      <c r="CZ67" s="60">
        <f t="shared" si="42"/>
        <v>322.81767004794284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>
        <f>EXP(-LN(2)/35)*DF66+(1-EXP(-LN(2)/35))/(LN(2)/35)*DB67*DC67*VLOOKUP('Données projet'!$B$13,Paramètres!$A$1:$I$89,3,0)*0.475*44/12</f>
        <v>0</v>
      </c>
      <c r="DG67" s="23">
        <f>EXP(-LN(2)/25)*DG66+(1-EXP(-LN(2)/25))/(LN(2)/25)*Calculateur!DB67*Calculateur!DD67*VLOOKUP('Données projet'!$B$13,Paramètres!$A$1:$I$89,3,0)*0.475*44/12</f>
        <v>0</v>
      </c>
      <c r="DH67" s="23">
        <f>EXP(-LN(2)/2)*DH66+(1-EXP(-LN(2)/2))/(LN(2)/2)*DB67*DE67*VLOOKUP('Données projet'!$B$13,Paramètres!$A$1:$I$89,3,0)*0.475*44/12</f>
        <v>0</v>
      </c>
      <c r="DI67" s="24">
        <f t="shared" si="15"/>
        <v>0</v>
      </c>
      <c r="DJ67" s="77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8.8000000000000007</v>
      </c>
      <c r="DO67" s="13">
        <f>IF('Données projet'!$A$166&gt;35,DO66+DN67-DW66,IF(A67&lt;'Données projet'!$A$166,$DL$205^A67,IF(A67='Données projet'!$A$166,'Données projet'!$B$166,DO66+DN67-DW66)))</f>
        <v>308.2</v>
      </c>
      <c r="DP67" s="18">
        <f>DO67*VLOOKUP('Données projet'!$B$14,Paramètres!$A$1:$I$89,3,0)*VLOOKUP('Données projet'!$B$14,Paramètres!$A$1:$I$89,5,0)</f>
        <v>298.09104000000002</v>
      </c>
      <c r="DQ67" s="14">
        <f t="shared" si="43"/>
        <v>70.776123577436934</v>
      </c>
      <c r="DR67" s="22">
        <f t="shared" si="16"/>
        <v>642.44364323070261</v>
      </c>
      <c r="DS67" s="60">
        <f t="shared" si="17"/>
        <v>935.77697656403598</v>
      </c>
      <c r="DT67" s="60">
        <f ca="1">AVERAGE(OFFSET($DS$3,0,0,'Données projet'!$E$14+1,1))-AVERAGE(OFFSET($H$3,0,0,'Données projet'!$E$14+1,1))</f>
        <v>562.69380557620775</v>
      </c>
      <c r="DU67" s="60">
        <f t="shared" si="44"/>
        <v>294.45557293177131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>
        <f>EXP(-LN(2)/35)*EA66+(1-EXP(-LN(2)/35))/(LN(2)/35)*DW67*DX67*VLOOKUP('Données projet'!$B$14,Paramètres!$A$1:$I$89,3,0)*0.475*44/12</f>
        <v>0</v>
      </c>
      <c r="EB67" s="23">
        <f>EXP(-LN(2)/25)*EB66+(1-EXP(-LN(2)/25))/(LN(2)/25)*Calculateur!DW67*Calculateur!DY67*VLOOKUP('Données projet'!$B$14,Paramètres!$A$1:$I$89,3,0)*0.475*44/12</f>
        <v>0</v>
      </c>
      <c r="EC67" s="23">
        <f>EXP(-LN(2)/2)*EC66+(1-EXP(-LN(2)/2))/(LN(2)/2)*DW67*DZ67*VLOOKUP('Données projet'!$B$14,Paramètres!$A$1:$I$89,3,0)*0.475*44/12</f>
        <v>0</v>
      </c>
      <c r="ED67" s="24">
        <f t="shared" si="18"/>
        <v>0</v>
      </c>
      <c r="EE67" s="77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8.6666666666666661</v>
      </c>
      <c r="EJ67" s="13">
        <f>IF('Données projet'!$A$192&gt;35,EJ66+EI67-ER66,IF(A67&lt;'Données projet'!$A$192,$EG$205^A67,IF(A67='Données projet'!$A$192,'Données projet'!$B$192,EJ66+EI67-ER66)))</f>
        <v>284.66666666666669</v>
      </c>
      <c r="EK67" s="18">
        <f>EJ67*VLOOKUP('Données projet'!$B$15,Paramètres!$A$1:$I$89,3,0)*VLOOKUP('Données projet'!$B$15,Paramètres!$A$1:$I$89,5,0)</f>
        <v>222.04000000000002</v>
      </c>
      <c r="EL67" s="14">
        <f t="shared" si="45"/>
        <v>54.558031180803596</v>
      </c>
      <c r="EM67" s="22">
        <f t="shared" si="19"/>
        <v>481.74157097323291</v>
      </c>
      <c r="EN67" s="60">
        <f t="shared" si="20"/>
        <v>775.07490430656617</v>
      </c>
      <c r="EO67" s="60">
        <f ca="1">AVERAGE(OFFSET($EN$3,0,0,'Données projet'!$E$15+1,1))-AVERAGE(OFFSET($H$3,0,0,'Données projet'!$E$15+1,1))</f>
        <v>292.57482726862594</v>
      </c>
      <c r="EP67" s="60">
        <f t="shared" si="46"/>
        <v>283.48738729114024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>
        <f>EXP(-LN(2)/35)*EV66+(1-EXP(-LN(2)/35))/(LN(2)/35)*ER67*ES67*VLOOKUP('Données projet'!$B$15,Paramètres!$A$1:$I$89,3,0)*0.475*44/12</f>
        <v>0</v>
      </c>
      <c r="EW67" s="23">
        <f>EXP(-LN(2)/25)*EW66+(1-EXP(-LN(2)/25))/(LN(2)/25)*Calculateur!ER67*Calculateur!ET67*VLOOKUP('Données projet'!$B$15,Paramètres!$A$1:$I$89,3,0)*0.475*44/12</f>
        <v>0</v>
      </c>
      <c r="EX67" s="23">
        <f>EXP(-LN(2)/2)*EX66+(1-EXP(-LN(2)/2))/(LN(2)/2)*ER67*EU67*VLOOKUP('Données projet'!$B$15,Paramètres!$A$1:$I$89,3,0)*0.475*44/12</f>
        <v>0</v>
      </c>
      <c r="EY67" s="24">
        <f t="shared" si="21"/>
        <v>0</v>
      </c>
      <c r="EZ67" s="77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0" t="e">
        <f t="shared" si="23"/>
        <v>#N/A</v>
      </c>
      <c r="FJ67" s="60" t="e">
        <f ca="1">AVERAGE(OFFSET($FI$3,0,0,'Données projet'!$E$16+1,1))-AVERAGE(OFFSET($H$3,0,0,'Données projet'!$E$16+1,1))</f>
        <v>#N/A</v>
      </c>
      <c r="FK67" s="60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77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0" t="e">
        <f t="shared" si="26"/>
        <v>#N/A</v>
      </c>
      <c r="GE67" s="60" t="e">
        <f ca="1">AVERAGE(OFFSET($GD$3,0,0,'Données projet'!$E$17+1,1))-AVERAGE(OFFSET($H$3,0,0,'Données projet'!$E$17+1,1))</f>
        <v>#N/A</v>
      </c>
      <c r="GF67" s="60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77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0" t="e">
        <f t="shared" si="29"/>
        <v>#N/A</v>
      </c>
      <c r="GZ67" s="60" t="e">
        <f ca="1">AVERAGE(OFFSET($GY$3,0,0,'Données projet'!$E$18+1,1))-AVERAGE(OFFSET($H$3,0,0,'Données projet'!$E$18+1,1))</f>
        <v>#N/A</v>
      </c>
      <c r="HA67" s="60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25">
      <c r="A68" s="11">
        <f t="shared" si="31"/>
        <v>65</v>
      </c>
      <c r="B68" s="74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2">
        <f t="shared" si="32"/>
        <v>0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0</v>
      </c>
      <c r="H68" s="67">
        <f t="shared" ref="H68:H131" si="56">(B68+E68+F68)*44/12+(C68+D68)*0.475*44/12</f>
        <v>256.66666666666669</v>
      </c>
      <c r="I68" s="7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>
        <f>VLOOKUP(A68,'Données projet'!$A$35:$I$55,2,0)</f>
        <v>216.02564102564102</v>
      </c>
      <c r="L68" s="13">
        <f>VLOOKUP(A68,'Données projet'!$A$35:$I$55,9,0)</f>
        <v>5</v>
      </c>
      <c r="M68" s="13">
        <f t="array" ref="M68">INDEX(L:L,MIN(IF(ISNUMBER(L68:L264),ROW(L68:L264),"")))</f>
        <v>5</v>
      </c>
      <c r="N68" s="14">
        <f>IF('Données projet'!$A$36&gt;35,N67+M68-V67,IF(A68&lt;'Données projet'!$A$36,$K$205^A68,IF(A68='Données projet'!$A$36,'Données projet'!$B$36,N67+M68-V67)))</f>
        <v>216.02564102564094</v>
      </c>
      <c r="O68" s="14">
        <f>N68*VLOOKUP('Données projet'!$B$9,Paramètres!$A$1:$I$89,3,0)*VLOOKUP('Données projet'!$B$9,Paramètres!$A$1:$I$89,5,0)</f>
        <v>205.56999999999991</v>
      </c>
      <c r="P68" s="14">
        <f t="shared" si="33"/>
        <v>50.966321268617726</v>
      </c>
      <c r="Q68" s="22">
        <f t="shared" si="54"/>
        <v>446.8007595428424</v>
      </c>
      <c r="R68" s="60">
        <f t="shared" si="55"/>
        <v>740.13409287617571</v>
      </c>
      <c r="S68" s="60">
        <f ca="1">AVERAGE(OFFSET($R$3,0,0,'Données projet'!$E$9+1,1))-AVERAGE(OFFSET($H$3,0,0,'Données projet'!$E$9+1,1))</f>
        <v>403.49781966317852</v>
      </c>
      <c r="T68" s="60">
        <f t="shared" si="34"/>
        <v>326.06674572505409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0</v>
      </c>
      <c r="AA68" s="23">
        <f>EXP(-LN(2)/25)*AA67+(1-EXP(-LN(2)/25))/(LN(2)/25)*Calculateur!V68*Calculateur!X68*VLOOKUP('Données projet'!$B$9,Paramètres!$A$1:$I$89,3,0)*0.475*44/12</f>
        <v>0</v>
      </c>
      <c r="AB68" s="23">
        <f>EXP(-LN(2)/2)*AB67+(1-EXP(-LN(2)/2))/(LN(2)/2)*V68*Y68*VLOOKUP('Données projet'!$B$9,Paramètres!$A$1:$I$89,3,0)*0.475*44/12</f>
        <v>0</v>
      </c>
      <c r="AC68" s="24">
        <f t="shared" ref="AC68:AC131" si="57">SUM(Z68:AB68)</f>
        <v>0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>
        <f>VLOOKUP(A68,'Données projet'!$A$61:$I$81,2,0)</f>
        <v>211</v>
      </c>
      <c r="AG68" s="13">
        <f>VLOOKUP(A68,'Données projet'!$A$61:$I$81,9,0)</f>
        <v>3.2</v>
      </c>
      <c r="AH68" s="13">
        <f t="array" ref="AH68">INDEX(AG:AG,MIN(IF(ISNUMBER(AG68:AG264),ROW(AG68:AG264),"")))</f>
        <v>3.2</v>
      </c>
      <c r="AI68" s="14">
        <f>IF('Données projet'!$A$62&gt;35,AI67+AH68-AQ67,IF(A68&lt;'Données projet'!$A$62,$AF$205^A68,IF(A68='Données projet'!$A$62,'Données projet'!$B$62,AI67+AH68-AQ67)))</f>
        <v>210.99999999999989</v>
      </c>
      <c r="AJ68" s="14">
        <f>AI68*VLOOKUP('Données projet'!$B$10,Paramètres!$A$1:$I$89,3,0)*VLOOKUP('Données projet'!$B$10,Paramètres!$A$1:$I$89,5,0)</f>
        <v>184.32959999999994</v>
      </c>
      <c r="AK68" s="14">
        <f t="shared" si="35"/>
        <v>46.284105851003062</v>
      </c>
      <c r="AL68" s="22">
        <f t="shared" ref="AL68:AL131" si="58">(AJ68+AK68)*0.475*44/12</f>
        <v>401.65220435716355</v>
      </c>
      <c r="AM68" s="60">
        <f t="shared" ref="AM68:AM131" si="59">AL68+(AD68+AE68)*44/12</f>
        <v>694.98553769049681</v>
      </c>
      <c r="AN68" s="60">
        <f ca="1">AVERAGE(OFFSET($AM$3,0,0,'Données projet'!$E$10+1,1))-AVERAGE(OFFSET($H$3,0,0,'Données projet'!$E$10+1,1))</f>
        <v>274.66236526869056</v>
      </c>
      <c r="AO68" s="60">
        <f t="shared" si="36"/>
        <v>256.90876395053073</v>
      </c>
      <c r="AP68" s="16">
        <f>IF(ISNA(VLOOKUP(A68,'Données projet'!$A$61:$I$81,3,0)),0,VLOOKUP(A68,'Données projet'!$A$61:$I$81,3,0))</f>
        <v>5</v>
      </c>
      <c r="AQ68" s="16">
        <f>IF(ISNA(VLOOKUP(A68,'Données projet'!$A$61:$I$81,4,0)),0,VLOOKUP(A68,'Données projet'!$A$61:$I$81,4,0))</f>
        <v>17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>
        <f>EXP(-LN(2)/35)*AU67+(1-EXP(-LN(2)/35))/(LN(2)/35)*AQ68*AR68*VLOOKUP('Données projet'!$B$10,Paramètres!$A$1:$I$89,3,0)*0.475*44/12</f>
        <v>0</v>
      </c>
      <c r="AV68" s="23">
        <f>EXP(-LN(2)/25)*AV67+(1-EXP(-LN(2)/25))/(LN(2)/25)*Calculateur!AQ68*Calculateur!AS68*VLOOKUP('Données projet'!$B$10,Paramètres!$A$1:$I$89,3,0)*0.475*44/12</f>
        <v>0</v>
      </c>
      <c r="AW68" s="23">
        <f>EXP(-LN(2)/2)*AW67+(1-EXP(-LN(2)/2))/(LN(2)/2)*AQ68*AT68*VLOOKUP('Données projet'!$B$10,Paramètres!$A$1:$I$89,3,0)*0.475*44/12</f>
        <v>0</v>
      </c>
      <c r="AX68" s="23">
        <f t="shared" ref="AX68:AX131" si="60">SUM(AU68:AW68)</f>
        <v>0</v>
      </c>
      <c r="AY68" s="76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>
        <f>VLOOKUP(A68,'Données projet'!$A$87:$I$107,2,0)</f>
        <v>317</v>
      </c>
      <c r="BB68" s="13">
        <f>VLOOKUP(A68,'Données projet'!$A$87:$I$107,9,0)</f>
        <v>8.8000000000000007</v>
      </c>
      <c r="BC68" s="13">
        <f t="array" ref="BC68">INDEX(BB:BB,MIN(IF(ISNUMBER(BB68:BB264),ROW(BB68:BB264),"")))</f>
        <v>8.8000000000000007</v>
      </c>
      <c r="BD68" s="13">
        <f>IF('Données projet'!$A$88&gt;35,BD67+BC68-BL67,IF(A68&lt;'Données projet'!$A$88,$BA$205^A68,IF(A68='Données projet'!$A$88,'Données projet'!$B$88,BD67+BC68-BL67)))</f>
        <v>317</v>
      </c>
      <c r="BE68" s="14">
        <f>BD68*VLOOKUP('Données projet'!$B$11,Paramètres!$A$1:$I$89,3,0)*VLOOKUP('Données projet'!$B$11,Paramètres!$A$1:$I$89,5,0)</f>
        <v>286.82159999999999</v>
      </c>
      <c r="BF68" s="14">
        <f t="shared" si="37"/>
        <v>68.406583284351484</v>
      </c>
      <c r="BG68" s="22">
        <f t="shared" ref="BG68:BG131" si="61">(BE68+BF68)*0.475*44/12</f>
        <v>618.68908588691215</v>
      </c>
      <c r="BH68" s="60">
        <f t="shared" ref="BH68:BH131" si="62">BG68+(AY68+AZ68)*44/12</f>
        <v>912.02241922024541</v>
      </c>
      <c r="BI68" s="60">
        <f ca="1">AVERAGE(OFFSET($BH$3,0,0,'Données projet'!$E$11+1,1))-AVERAGE(OFFSET($H$3,0,0,'Données projet'!$E$11+1,1))</f>
        <v>529.25712986118265</v>
      </c>
      <c r="BJ68" s="60">
        <f t="shared" si="38"/>
        <v>278.21741231699929</v>
      </c>
      <c r="BK68" s="16">
        <f>IF(ISNA(VLOOKUP(A68,'Données projet'!$A$87:$I$107,3,0)),0,VLOOKUP(A68,'Données projet'!$A$87:$I$107,3,0))</f>
        <v>5</v>
      </c>
      <c r="BL68" s="16">
        <f>IF(ISNA(VLOOKUP(A68,'Données projet'!$A$87:$I$107,4,0)),0,VLOOKUP(A68,'Données projet'!$A$87:$I$107,4,0))</f>
        <v>56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>
        <f>EXP(-LN(2)/35)*BP67+(1-EXP(-LN(2)/35))/(LN(2)/35)*BL68*BM68*VLOOKUP('Données projet'!$B$11,Paramètres!$A$1:$I$89,3,0)*0.475*44/12</f>
        <v>0</v>
      </c>
      <c r="BQ68" s="23">
        <f>EXP(-LN(2)/25)*BQ67+(1-EXP(-LN(2)/25))/(LN(2)/25)*Calculateur!BL68*Calculateur!BN68*VLOOKUP('Données projet'!$B$11,Paramètres!$A$1:$I$89,3,0)*0.475*44/12</f>
        <v>0</v>
      </c>
      <c r="BR68" s="23">
        <f>EXP(-LN(2)/2)*BR67+(1-EXP(-LN(2)/2))/(LN(2)/2)*BL68*BO68*VLOOKUP('Données projet'!$B$11,Paramètres!$A$1:$I$89,3,0)*0.475*44/12</f>
        <v>0</v>
      </c>
      <c r="BS68" s="24">
        <f t="shared" ref="BS68:BS131" si="63">SUM(BP68:BR68)</f>
        <v>0</v>
      </c>
      <c r="BT68" s="77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>
        <f>VLOOKUP(A68,'Données projet'!$A$113:$I$133,2,0)</f>
        <v>317</v>
      </c>
      <c r="BW68" s="13">
        <f>VLOOKUP(A68,'Données projet'!$A$113:$I$133,9,0)</f>
        <v>8.8000000000000007</v>
      </c>
      <c r="BX68" s="13">
        <f t="array" ref="BX68">INDEX(BW:BW,MIN(IF(ISNUMBER(BW68:BW264),ROW(BW68:BW264),"")))</f>
        <v>8.8000000000000007</v>
      </c>
      <c r="BY68" s="13">
        <f>IF('Données projet'!$A$114&gt;35,BY67+BX68-CG67,IF(A68&lt;'Données projet'!$A$114,$BV$205^A68,IF(A68='Données projet'!$A$114,'Données projet'!$B$114,BY67+BX68-CG67)))</f>
        <v>317</v>
      </c>
      <c r="BZ68" s="14">
        <f>BY68*VLOOKUP('Données projet'!$B$12,Paramètres!$A$1:$I$89,3,0)*VLOOKUP('Données projet'!$B$12,Paramètres!$A$1:$I$89,5,0)</f>
        <v>321.43800000000005</v>
      </c>
      <c r="CA68" s="14">
        <f t="shared" si="39"/>
        <v>75.652479406660248</v>
      </c>
      <c r="CB68" s="22">
        <f t="shared" ref="CB68:CB131" si="64">(BZ68+CA68)*0.475*44/12</f>
        <v>691.59925163326659</v>
      </c>
      <c r="CC68" s="60">
        <f t="shared" ref="CC68:CC131" si="65">CB68+(BT68+BU68)*44/12</f>
        <v>984.93258496659996</v>
      </c>
      <c r="CD68" s="60">
        <f ca="1">AVERAGE(OFFSET($CC$3,0,0,'Données projet'!$E$12+1,1))-AVERAGE(OFFSET($H$3,0,0,'Données projet'!$E$12+1,1))</f>
        <v>587.74247372331615</v>
      </c>
      <c r="CE68" s="60">
        <f t="shared" si="40"/>
        <v>306.61893266146666</v>
      </c>
      <c r="CF68" s="16">
        <f>IF(ISNA(VLOOKUP(A68,'Données projet'!$A$113:$I$133,3,0)),0,VLOOKUP(A68,'Données projet'!$A$113:$I$133,3,0))</f>
        <v>5</v>
      </c>
      <c r="CG68" s="16">
        <f>IF(ISNA(VLOOKUP(A68,'Données projet'!$A$113:$I$133,4,0)),0,VLOOKUP(A68,'Données projet'!$A$113:$I$133,4,0))</f>
        <v>56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>
        <f>EXP(-LN(2)/35)*CK67+(1-EXP(-LN(2)/35))/(LN(2)/35)*CG68*CH68*VLOOKUP('Données projet'!$B$12,Paramètres!$A$1:$I$89,3,0)*0.475*44/12</f>
        <v>0</v>
      </c>
      <c r="CL68" s="23">
        <f>EXP(-LN(2)/25)*CL67+(1-EXP(-LN(2)/25))/(LN(2)/25)*Calculateur!CG68*Calculateur!CI68*VLOOKUP('Données projet'!$B$12,Paramètres!$A$1:$I$89,3,0)*0.475*44/12</f>
        <v>0</v>
      </c>
      <c r="CM68" s="23">
        <f>EXP(-LN(2)/2)*CM67+(1-EXP(-LN(2)/2))/(LN(2)/2)*CG68*CJ68*VLOOKUP('Données projet'!$B$12,Paramètres!$A$1:$I$89,3,0)*0.475*44/12</f>
        <v>0</v>
      </c>
      <c r="CN68" s="24">
        <f t="shared" ref="CN68:CN131" si="66">SUM(CK68:CM68)</f>
        <v>0</v>
      </c>
      <c r="CO68" s="77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>
        <f>VLOOKUP(A68,'Données projet'!$A$139:$I$159,2,0)</f>
        <v>317</v>
      </c>
      <c r="CR68" s="13">
        <f>VLOOKUP(A68,'Données projet'!$A$139:$I$159,9,0)</f>
        <v>8.8000000000000007</v>
      </c>
      <c r="CS68" s="13">
        <f t="array" ref="CS68">INDEX(CR:CR,MIN(IF(ISNUMBER(CR68:CR264),ROW(CR68:CR264),"")))</f>
        <v>8.8000000000000007</v>
      </c>
      <c r="CT68" s="13">
        <f>IF('Données projet'!$A$140&gt;35,CT67+CS68-DB67,IF(A68&lt;'Données projet'!$A$140,$CQ$205^A68,IF(A68='Données projet'!$A$140,'Données projet'!$B$140,CT67+CS68-DB67)))</f>
        <v>317</v>
      </c>
      <c r="CU68" s="18">
        <f>CT68*VLOOKUP('Données projet'!$B$13,Paramètres!$A$1:$I$89,3,0)*VLOOKUP('Données projet'!$B$13,Paramètres!$A$1:$I$89,5,0)</f>
        <v>341.21879999999999</v>
      </c>
      <c r="CV68" s="14">
        <f t="shared" si="41"/>
        <v>79.751705752925901</v>
      </c>
      <c r="CW68" s="22">
        <f t="shared" ref="CW68:CW131" si="67">(CU68+CV68)*0.475*44/12</f>
        <v>733.19029751967912</v>
      </c>
      <c r="CX68" s="60">
        <f t="shared" ref="CX68:CX131" si="68">CW68+(CO68+CP68)*44/12</f>
        <v>1026.5236308530125</v>
      </c>
      <c r="CY68" s="60">
        <f ca="1">AVERAGE(OFFSET($CX$3,0,0,'Données projet'!$E$13+1,1))-AVERAGE(OFFSET($H$3,0,0,'Données projet'!$E$13+1,1))</f>
        <v>621.10465023992288</v>
      </c>
      <c r="CZ68" s="60">
        <f t="shared" si="42"/>
        <v>322.81767004794284</v>
      </c>
      <c r="DA68" s="16">
        <f>IF(ISNA(VLOOKUP(A68,'Données projet'!$A$139:$I$159,3,0)),0,VLOOKUP(A68,'Données projet'!$A$139:$I$159,3,0))</f>
        <v>5</v>
      </c>
      <c r="DB68" s="16">
        <f>IF(ISNA(VLOOKUP(A68,'Données projet'!$A$139:$I$159,4,0)),0,VLOOKUP(A68,'Données projet'!$A$139:$I$159,4,0))</f>
        <v>56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>
        <f>EXP(-LN(2)/35)*DF67+(1-EXP(-LN(2)/35))/(LN(2)/35)*DB68*DC68*VLOOKUP('Données projet'!$B$13,Paramètres!$A$1:$I$89,3,0)*0.475*44/12</f>
        <v>0</v>
      </c>
      <c r="DG68" s="23">
        <f>EXP(-LN(2)/25)*DG67+(1-EXP(-LN(2)/25))/(LN(2)/25)*Calculateur!DB68*Calculateur!DD68*VLOOKUP('Données projet'!$B$13,Paramètres!$A$1:$I$89,3,0)*0.475*44/12</f>
        <v>0</v>
      </c>
      <c r="DH68" s="23">
        <f>EXP(-LN(2)/2)*DH67+(1-EXP(-LN(2)/2))/(LN(2)/2)*DB68*DE68*VLOOKUP('Données projet'!$B$13,Paramètres!$A$1:$I$89,3,0)*0.475*44/12</f>
        <v>0</v>
      </c>
      <c r="DI68" s="24">
        <f t="shared" ref="DI68:DI131" si="69">SUM(DF68:DH68)</f>
        <v>0</v>
      </c>
      <c r="DJ68" s="77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>
        <f>VLOOKUP(A68,'Données projet'!$A$165:$I$185,2,0)</f>
        <v>317</v>
      </c>
      <c r="DM68" s="13">
        <f>VLOOKUP(A68,'Données projet'!$A$165:$I$185,9,0)</f>
        <v>8.8000000000000007</v>
      </c>
      <c r="DN68" s="13">
        <f t="array" ref="DN68">INDEX(DM:DM,MIN(IF(ISNUMBER(DM68:DM264),ROW(DM68:DM264),"")))</f>
        <v>8.8000000000000007</v>
      </c>
      <c r="DO68" s="13">
        <f>IF('Données projet'!$A$166&gt;35,DO67+DN68-DW67,IF(A68&lt;'Données projet'!$A$166,$DL$205^A68,IF(A68='Données projet'!$A$166,'Données projet'!$B$166,DO67+DN68-DW67)))</f>
        <v>317</v>
      </c>
      <c r="DP68" s="18">
        <f>DO68*VLOOKUP('Données projet'!$B$14,Paramètres!$A$1:$I$89,3,0)*VLOOKUP('Données projet'!$B$14,Paramètres!$A$1:$I$89,5,0)</f>
        <v>306.60239999999999</v>
      </c>
      <c r="DQ68" s="14">
        <f t="shared" si="43"/>
        <v>72.558821602115088</v>
      </c>
      <c r="DR68" s="22">
        <f t="shared" ref="DR68:DR131" si="70">(DP68+DQ68)*0.475*44/12</f>
        <v>660.3724609570171</v>
      </c>
      <c r="DS68" s="60">
        <f t="shared" ref="DS68:DS131" si="71">DR68+(DJ68+DK68)*44/12</f>
        <v>953.70579429035047</v>
      </c>
      <c r="DT68" s="60">
        <f ca="1">AVERAGE(OFFSET($DS$3,0,0,'Données projet'!$E$14+1,1))-AVERAGE(OFFSET($H$3,0,0,'Données projet'!$E$14+1,1))</f>
        <v>562.69380557620775</v>
      </c>
      <c r="DU68" s="60">
        <f t="shared" si="44"/>
        <v>294.45557293177131</v>
      </c>
      <c r="DV68" s="16">
        <f>IF(ISNA(VLOOKUP(A68,'Données projet'!$A$165:$I$185,3,0)),0,VLOOKUP(A68,'Données projet'!$A$165:$I$185,3,0))</f>
        <v>5</v>
      </c>
      <c r="DW68" s="16">
        <f>IF(ISNA(VLOOKUP(A68,'Données projet'!$A$165:$I$185,4,0)),0,VLOOKUP(A68,'Données projet'!$A$165:$I$185,4,0))</f>
        <v>56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>
        <f>EXP(-LN(2)/35)*EA67+(1-EXP(-LN(2)/35))/(LN(2)/35)*DW68*DX68*VLOOKUP('Données projet'!$B$14,Paramètres!$A$1:$I$89,3,0)*0.475*44/12</f>
        <v>0</v>
      </c>
      <c r="EB68" s="23">
        <f>EXP(-LN(2)/25)*EB67+(1-EXP(-LN(2)/25))/(LN(2)/25)*Calculateur!DW68*Calculateur!DY68*VLOOKUP('Données projet'!$B$14,Paramètres!$A$1:$I$89,3,0)*0.475*44/12</f>
        <v>0</v>
      </c>
      <c r="EC68" s="23">
        <f>EXP(-LN(2)/2)*EC67+(1-EXP(-LN(2)/2))/(LN(2)/2)*DW68*DZ68*VLOOKUP('Données projet'!$B$14,Paramètres!$A$1:$I$89,3,0)*0.475*44/12</f>
        <v>0</v>
      </c>
      <c r="ED68" s="24">
        <f t="shared" ref="ED68:ED131" si="72">SUM(EA68:EC68)</f>
        <v>0</v>
      </c>
      <c r="EE68" s="77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8.6666666666666661</v>
      </c>
      <c r="EJ68" s="13">
        <f>IF('Données projet'!$A$192&gt;35,EJ67+EI68-ER67,IF(A68&lt;'Données projet'!$A$192,$EG$205^A68,IF(A68='Données projet'!$A$192,'Données projet'!$B$192,EJ67+EI68-ER67)))</f>
        <v>293.33333333333337</v>
      </c>
      <c r="EK68" s="18">
        <f>EJ68*VLOOKUP('Données projet'!$B$15,Paramètres!$A$1:$I$89,3,0)*VLOOKUP('Données projet'!$B$15,Paramètres!$A$1:$I$89,5,0)</f>
        <v>228.80000000000004</v>
      </c>
      <c r="EL68" s="14">
        <f t="shared" si="45"/>
        <v>56.023134533701196</v>
      </c>
      <c r="EM68" s="22">
        <f t="shared" ref="EM68:EM131" si="73">(EK68+EL68)*0.475*44/12</f>
        <v>496.06695931286299</v>
      </c>
      <c r="EN68" s="60">
        <f t="shared" ref="EN68:EN131" si="74">EM68+(EE68+EF68)*44/12</f>
        <v>789.40029264619625</v>
      </c>
      <c r="EO68" s="60">
        <f ca="1">AVERAGE(OFFSET($EN$3,0,0,'Données projet'!$E$15+1,1))-AVERAGE(OFFSET($H$3,0,0,'Données projet'!$E$15+1,1))</f>
        <v>292.57482726862594</v>
      </c>
      <c r="EP68" s="60">
        <f t="shared" si="46"/>
        <v>283.48738729114024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>
        <f>EXP(-LN(2)/35)*EV67+(1-EXP(-LN(2)/35))/(LN(2)/35)*ER68*ES68*VLOOKUP('Données projet'!$B$15,Paramètres!$A$1:$I$89,3,0)*0.475*44/12</f>
        <v>0</v>
      </c>
      <c r="EW68" s="23">
        <f>EXP(-LN(2)/25)*EW67+(1-EXP(-LN(2)/25))/(LN(2)/25)*Calculateur!ER68*Calculateur!ET68*VLOOKUP('Données projet'!$B$15,Paramètres!$A$1:$I$89,3,0)*0.475*44/12</f>
        <v>0</v>
      </c>
      <c r="EX68" s="23">
        <f>EXP(-LN(2)/2)*EX67+(1-EXP(-LN(2)/2))/(LN(2)/2)*ER68*EU68*VLOOKUP('Données projet'!$B$15,Paramètres!$A$1:$I$89,3,0)*0.475*44/12</f>
        <v>0</v>
      </c>
      <c r="EY68" s="24">
        <f t="shared" ref="EY68:EY131" si="75">SUM(EV68:EX68)</f>
        <v>0</v>
      </c>
      <c r="EZ68" s="77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0" t="e">
        <f t="shared" ref="FI68:FI131" si="77">FH68+(EZ68+FA68)*44/12</f>
        <v>#N/A</v>
      </c>
      <c r="FJ68" s="60" t="e">
        <f ca="1">AVERAGE(OFFSET($FI$3,0,0,'Données projet'!$E$16+1,1))-AVERAGE(OFFSET($H$3,0,0,'Données projet'!$E$16+1,1))</f>
        <v>#N/A</v>
      </c>
      <c r="FK68" s="60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77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0" t="e">
        <f t="shared" ref="GD68:GD131" si="80">GC68+(FU68+FV68)*44/12</f>
        <v>#N/A</v>
      </c>
      <c r="GE68" s="60" t="e">
        <f ca="1">AVERAGE(OFFSET($GD$3,0,0,'Données projet'!$E$17+1,1))-AVERAGE(OFFSET($H$3,0,0,'Données projet'!$E$17+1,1))</f>
        <v>#N/A</v>
      </c>
      <c r="GF68" s="60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77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0" t="e">
        <f t="shared" ref="GY68:GY131" si="83">GX68+(GP68+GQ68)*44/12</f>
        <v>#N/A</v>
      </c>
      <c r="GZ68" s="60" t="e">
        <f ca="1">AVERAGE(OFFSET($GY$3,0,0,'Données projet'!$E$18+1,1))-AVERAGE(OFFSET($H$3,0,0,'Données projet'!$E$18+1,1))</f>
        <v>#N/A</v>
      </c>
      <c r="HA68" s="60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25">
      <c r="A69" s="11">
        <f t="shared" ref="A69:A132" si="85">A68+1</f>
        <v>66</v>
      </c>
      <c r="B69" s="74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2">
        <f t="shared" ref="D69:D132" si="86">IFERROR(EXP(-1.0587+0.8836*LN(C69)+0.284),0)</f>
        <v>0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0</v>
      </c>
      <c r="H69" s="67">
        <f t="shared" si="56"/>
        <v>256.66666666666669</v>
      </c>
      <c r="I69" s="7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4.7435897435897401</v>
      </c>
      <c r="N69" s="14">
        <f>IF('Données projet'!$A$36&gt;35,N68+M69-V68,IF(A69&lt;'Données projet'!$A$36,$K$205^A69,IF(A69='Données projet'!$A$36,'Données projet'!$B$36,N68+M69-V68)))</f>
        <v>220.76923076923069</v>
      </c>
      <c r="O69" s="14">
        <f>N69*VLOOKUP('Données projet'!$B$9,Paramètres!$A$1:$I$89,3,0)*VLOOKUP('Données projet'!$B$9,Paramètres!$A$1:$I$89,5,0)</f>
        <v>210.08399999999995</v>
      </c>
      <c r="P69" s="14">
        <f t="shared" ref="P69:P132" si="87">EXP(-1.0587+0.8836*LN(O69)+0.284)</f>
        <v>51.953941384443397</v>
      </c>
      <c r="Q69" s="22">
        <f t="shared" si="54"/>
        <v>456.38274791123877</v>
      </c>
      <c r="R69" s="60">
        <f t="shared" si="55"/>
        <v>749.71608124457202</v>
      </c>
      <c r="S69" s="60">
        <f ca="1">AVERAGE(OFFSET($R$3,0,0,'Données projet'!$E$9+1,1))-AVERAGE(OFFSET($H$3,0,0,'Données projet'!$E$9+1,1))</f>
        <v>403.49781966317852</v>
      </c>
      <c r="T69" s="60">
        <f t="shared" ref="T69:T132" si="88">$T$3</f>
        <v>326.06674572505409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0</v>
      </c>
      <c r="AA69" s="23">
        <f>EXP(-LN(2)/25)*AA68+(1-EXP(-LN(2)/25))/(LN(2)/25)*Calculateur!V69*Calculateur!X69*VLOOKUP('Données projet'!$B$9,Paramètres!$A$1:$I$89,3,0)*0.475*44/12</f>
        <v>0</v>
      </c>
      <c r="AB69" s="23">
        <f>EXP(-LN(2)/2)*AB68+(1-EXP(-LN(2)/2))/(LN(2)/2)*V69*Y69*VLOOKUP('Données projet'!$B$9,Paramètres!$A$1:$I$89,3,0)*0.475*44/12</f>
        <v>0</v>
      </c>
      <c r="AC69" s="24">
        <f t="shared" si="57"/>
        <v>0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3</v>
      </c>
      <c r="AI69" s="14">
        <f>IF('Données projet'!$A$62&gt;35,AI68+AH69-AQ68,IF(A69&lt;'Données projet'!$A$62,$AF$205^A69,IF(A69='Données projet'!$A$62,'Données projet'!$B$62,AI68+AH69-AQ68)))</f>
        <v>196.99999999999989</v>
      </c>
      <c r="AJ69" s="14">
        <f>AI69*VLOOKUP('Données projet'!$B$10,Paramètres!$A$1:$I$89,3,0)*VLOOKUP('Données projet'!$B$10,Paramètres!$A$1:$I$89,5,0)</f>
        <v>172.09919999999994</v>
      </c>
      <c r="AK69" s="14">
        <f t="shared" ref="AK69:AK132" si="89">EXP(-1.0587+0.8836*LN(AJ69)+0.284)</f>
        <v>43.559838214506954</v>
      </c>
      <c r="AL69" s="22">
        <f t="shared" si="58"/>
        <v>375.60615822359949</v>
      </c>
      <c r="AM69" s="60">
        <f t="shared" si="59"/>
        <v>668.93949155693281</v>
      </c>
      <c r="AN69" s="60">
        <f ca="1">AVERAGE(OFFSET($AM$3,0,0,'Données projet'!$E$10+1,1))-AVERAGE(OFFSET($H$3,0,0,'Données projet'!$E$10+1,1))</f>
        <v>274.66236526869056</v>
      </c>
      <c r="AO69" s="60">
        <f t="shared" ref="AO69:AO132" si="90">$AO$3</f>
        <v>256.90876395053073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>
        <f>EXP(-LN(2)/35)*AU68+(1-EXP(-LN(2)/35))/(LN(2)/35)*AQ69*AR69*VLOOKUP('Données projet'!$B$10,Paramètres!$A$1:$I$89,3,0)*0.475*44/12</f>
        <v>0</v>
      </c>
      <c r="AV69" s="23">
        <f>EXP(-LN(2)/25)*AV68+(1-EXP(-LN(2)/25))/(LN(2)/25)*Calculateur!AQ69*Calculateur!AS69*VLOOKUP('Données projet'!$B$10,Paramètres!$A$1:$I$89,3,0)*0.475*44/12</f>
        <v>0</v>
      </c>
      <c r="AW69" s="23">
        <f>EXP(-LN(2)/2)*AW68+(1-EXP(-LN(2)/2))/(LN(2)/2)*AQ69*AT69*VLOOKUP('Données projet'!$B$10,Paramètres!$A$1:$I$89,3,0)*0.475*44/12</f>
        <v>0</v>
      </c>
      <c r="AX69" s="23">
        <f t="shared" si="60"/>
        <v>0</v>
      </c>
      <c r="AY69" s="76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8.1999999999999993</v>
      </c>
      <c r="BD69" s="13">
        <f>IF('Données projet'!$A$88&gt;35,BD68+BC69-BL68,IF(A69&lt;'Données projet'!$A$88,$BA$205^A69,IF(A69='Données projet'!$A$88,'Données projet'!$B$88,BD68+BC69-BL68)))</f>
        <v>269.2</v>
      </c>
      <c r="BE69" s="14">
        <f>BD69*VLOOKUP('Données projet'!$B$11,Paramètres!$A$1:$I$89,3,0)*VLOOKUP('Données projet'!$B$11,Paramètres!$A$1:$I$89,5,0)</f>
        <v>243.57216</v>
      </c>
      <c r="BF69" s="14">
        <f t="shared" ref="BF69:BF132" si="91">EXP(-1.0587+0.8836*LN(BE69)+0.284)</f>
        <v>59.207435995642292</v>
      </c>
      <c r="BG69" s="22">
        <f t="shared" si="61"/>
        <v>527.34112969241028</v>
      </c>
      <c r="BH69" s="60">
        <f t="shared" si="62"/>
        <v>820.67446302574353</v>
      </c>
      <c r="BI69" s="60">
        <f ca="1">AVERAGE(OFFSET($BH$3,0,0,'Données projet'!$E$11+1,1))-AVERAGE(OFFSET($H$3,0,0,'Données projet'!$E$11+1,1))</f>
        <v>529.25712986118265</v>
      </c>
      <c r="BJ69" s="60">
        <f t="shared" ref="BJ69:BJ132" si="92">$BJ$3</f>
        <v>278.21741231699929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>
        <f>EXP(-LN(2)/35)*BP68+(1-EXP(-LN(2)/35))/(LN(2)/35)*BL69*BM69*VLOOKUP('Données projet'!$B$11,Paramètres!$A$1:$I$89,3,0)*0.475*44/12</f>
        <v>0</v>
      </c>
      <c r="BQ69" s="23">
        <f>EXP(-LN(2)/25)*BQ68+(1-EXP(-LN(2)/25))/(LN(2)/25)*Calculateur!BL69*Calculateur!BN69*VLOOKUP('Données projet'!$B$11,Paramètres!$A$1:$I$89,3,0)*0.475*44/12</f>
        <v>0</v>
      </c>
      <c r="BR69" s="23">
        <f>EXP(-LN(2)/2)*BR68+(1-EXP(-LN(2)/2))/(LN(2)/2)*BL69*BO69*VLOOKUP('Données projet'!$B$11,Paramètres!$A$1:$I$89,3,0)*0.475*44/12</f>
        <v>0</v>
      </c>
      <c r="BS69" s="24">
        <f t="shared" si="63"/>
        <v>0</v>
      </c>
      <c r="BT69" s="77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8.1999999999999993</v>
      </c>
      <c r="BY69" s="13">
        <f>IF('Données projet'!$A$114&gt;35,BY68+BX69-CG68,IF(A69&lt;'Données projet'!$A$114,$BV$205^A69,IF(A69='Données projet'!$A$114,'Données projet'!$B$114,BY68+BX69-CG68)))</f>
        <v>269.2</v>
      </c>
      <c r="BZ69" s="14">
        <f>BY69*VLOOKUP('Données projet'!$B$12,Paramètres!$A$1:$I$89,3,0)*VLOOKUP('Données projet'!$B$12,Paramètres!$A$1:$I$89,5,0)</f>
        <v>272.96879999999999</v>
      </c>
      <c r="CA69" s="14">
        <f t="shared" ref="CA69:CA132" si="93">EXP(-1.0587+0.8836*LN(BZ69)+0.284)</f>
        <v>65.478922017818945</v>
      </c>
      <c r="CB69" s="22">
        <f t="shared" si="64"/>
        <v>589.46311584770126</v>
      </c>
      <c r="CC69" s="60">
        <f t="shared" si="65"/>
        <v>882.79644918103463</v>
      </c>
      <c r="CD69" s="60">
        <f ca="1">AVERAGE(OFFSET($CC$3,0,0,'Données projet'!$E$12+1,1))-AVERAGE(OFFSET($H$3,0,0,'Données projet'!$E$12+1,1))</f>
        <v>587.74247372331615</v>
      </c>
      <c r="CE69" s="60">
        <f t="shared" ref="CE69:CE132" si="94">$CE$3</f>
        <v>306.61893266146666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>
        <f>EXP(-LN(2)/35)*CK68+(1-EXP(-LN(2)/35))/(LN(2)/35)*CG69*CH69*VLOOKUP('Données projet'!$B$12,Paramètres!$A$1:$I$89,3,0)*0.475*44/12</f>
        <v>0</v>
      </c>
      <c r="CL69" s="23">
        <f>EXP(-LN(2)/25)*CL68+(1-EXP(-LN(2)/25))/(LN(2)/25)*Calculateur!CG69*Calculateur!CI69*VLOOKUP('Données projet'!$B$12,Paramètres!$A$1:$I$89,3,0)*0.475*44/12</f>
        <v>0</v>
      </c>
      <c r="CM69" s="23">
        <f>EXP(-LN(2)/2)*CM68+(1-EXP(-LN(2)/2))/(LN(2)/2)*CG69*CJ69*VLOOKUP('Données projet'!$B$12,Paramètres!$A$1:$I$89,3,0)*0.475*44/12</f>
        <v>0</v>
      </c>
      <c r="CN69" s="24">
        <f t="shared" si="66"/>
        <v>0</v>
      </c>
      <c r="CO69" s="77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8.1999999999999993</v>
      </c>
      <c r="CT69" s="13">
        <f>IF('Données projet'!$A$140&gt;35,CT68+CS69-DB68,IF(A69&lt;'Données projet'!$A$140,$CQ$205^A69,IF(A69='Données projet'!$A$140,'Données projet'!$B$140,CT68+CS69-DB68)))</f>
        <v>269.2</v>
      </c>
      <c r="CU69" s="18">
        <f>CT69*VLOOKUP('Données projet'!$B$13,Paramètres!$A$1:$I$89,3,0)*VLOOKUP('Données projet'!$B$13,Paramètres!$A$1:$I$89,5,0)</f>
        <v>289.76688000000001</v>
      </c>
      <c r="CV69" s="14">
        <f t="shared" ref="CV69:CV132" si="95">EXP(-1.0587+0.8836*LN(CU69)+0.284)</f>
        <v>69.026894594073823</v>
      </c>
      <c r="CW69" s="22">
        <f t="shared" si="67"/>
        <v>624.8991574180119</v>
      </c>
      <c r="CX69" s="60">
        <f t="shared" si="68"/>
        <v>918.23249075134527</v>
      </c>
      <c r="CY69" s="60">
        <f ca="1">AVERAGE(OFFSET($CX$3,0,0,'Données projet'!$E$13+1,1))-AVERAGE(OFFSET($H$3,0,0,'Données projet'!$E$13+1,1))</f>
        <v>621.10465023992288</v>
      </c>
      <c r="CZ69" s="60">
        <f t="shared" ref="CZ69:CZ132" si="96">$CZ$3</f>
        <v>322.81767004794284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>
        <f>EXP(-LN(2)/35)*DF68+(1-EXP(-LN(2)/35))/(LN(2)/35)*DB69*DC69*VLOOKUP('Données projet'!$B$13,Paramètres!$A$1:$I$89,3,0)*0.475*44/12</f>
        <v>0</v>
      </c>
      <c r="DG69" s="23">
        <f>EXP(-LN(2)/25)*DG68+(1-EXP(-LN(2)/25))/(LN(2)/25)*Calculateur!DB69*Calculateur!DD69*VLOOKUP('Données projet'!$B$13,Paramètres!$A$1:$I$89,3,0)*0.475*44/12</f>
        <v>0</v>
      </c>
      <c r="DH69" s="23">
        <f>EXP(-LN(2)/2)*DH68+(1-EXP(-LN(2)/2))/(LN(2)/2)*DB69*DE69*VLOOKUP('Données projet'!$B$13,Paramètres!$A$1:$I$89,3,0)*0.475*44/12</f>
        <v>0</v>
      </c>
      <c r="DI69" s="24">
        <f t="shared" si="69"/>
        <v>0</v>
      </c>
      <c r="DJ69" s="77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8.1999999999999993</v>
      </c>
      <c r="DO69" s="13">
        <f>IF('Données projet'!$A$166&gt;35,DO68+DN69-DW68,IF(A69&lt;'Données projet'!$A$166,$DL$205^A69,IF(A69='Données projet'!$A$166,'Données projet'!$B$166,DO68+DN69-DW68)))</f>
        <v>269.2</v>
      </c>
      <c r="DP69" s="18">
        <f>DO69*VLOOKUP('Données projet'!$B$14,Paramètres!$A$1:$I$89,3,0)*VLOOKUP('Données projet'!$B$14,Paramètres!$A$1:$I$89,5,0)</f>
        <v>260.37024000000002</v>
      </c>
      <c r="DQ69" s="14">
        <f t="shared" ref="DQ69:DQ132" si="97">EXP(-1.0587+0.8836*LN(DP69)+0.284)</f>
        <v>62.801291625234725</v>
      </c>
      <c r="DR69" s="22">
        <f t="shared" si="70"/>
        <v>562.85708424728386</v>
      </c>
      <c r="DS69" s="60">
        <f t="shared" si="71"/>
        <v>856.19041758061712</v>
      </c>
      <c r="DT69" s="60">
        <f ca="1">AVERAGE(OFFSET($DS$3,0,0,'Données projet'!$E$14+1,1))-AVERAGE(OFFSET($H$3,0,0,'Données projet'!$E$14+1,1))</f>
        <v>562.69380557620775</v>
      </c>
      <c r="DU69" s="60">
        <f t="shared" ref="DU69:DU132" si="98">$DU$3</f>
        <v>294.45557293177131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>
        <f>EXP(-LN(2)/35)*EA68+(1-EXP(-LN(2)/35))/(LN(2)/35)*DW69*DX69*VLOOKUP('Données projet'!$B$14,Paramètres!$A$1:$I$89,3,0)*0.475*44/12</f>
        <v>0</v>
      </c>
      <c r="EB69" s="23">
        <f>EXP(-LN(2)/25)*EB68+(1-EXP(-LN(2)/25))/(LN(2)/25)*Calculateur!DW69*Calculateur!DY69*VLOOKUP('Données projet'!$B$14,Paramètres!$A$1:$I$89,3,0)*0.475*44/12</f>
        <v>0</v>
      </c>
      <c r="EC69" s="23">
        <f>EXP(-LN(2)/2)*EC68+(1-EXP(-LN(2)/2))/(LN(2)/2)*DW69*DZ69*VLOOKUP('Données projet'!$B$14,Paramètres!$A$1:$I$89,3,0)*0.475*44/12</f>
        <v>0</v>
      </c>
      <c r="ED69" s="24">
        <f t="shared" si="72"/>
        <v>0</v>
      </c>
      <c r="EE69" s="77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8.6666666666666661</v>
      </c>
      <c r="EJ69" s="13">
        <f>IF('Données projet'!$A$192&gt;35,EJ68+EI69-ER68,IF(A69&lt;'Données projet'!$A$192,$EG$205^A69,IF(A69='Données projet'!$A$192,'Données projet'!$B$192,EJ68+EI69-ER68)))</f>
        <v>302.00000000000006</v>
      </c>
      <c r="EK69" s="18">
        <f>EJ69*VLOOKUP('Données projet'!$B$15,Paramètres!$A$1:$I$89,3,0)*VLOOKUP('Données projet'!$B$15,Paramètres!$A$1:$I$89,5,0)</f>
        <v>235.56000000000006</v>
      </c>
      <c r="EL69" s="14">
        <f t="shared" ref="EL69:EL132" si="99">EXP(-1.0587+0.8836*LN(EK69)+0.284)</f>
        <v>57.483207143847771</v>
      </c>
      <c r="EM69" s="22">
        <f t="shared" si="73"/>
        <v>510.38358577553487</v>
      </c>
      <c r="EN69" s="60">
        <f t="shared" si="74"/>
        <v>803.71691910886818</v>
      </c>
      <c r="EO69" s="60">
        <f ca="1">AVERAGE(OFFSET($EN$3,0,0,'Données projet'!$E$15+1,1))-AVERAGE(OFFSET($H$3,0,0,'Données projet'!$E$15+1,1))</f>
        <v>292.57482726862594</v>
      </c>
      <c r="EP69" s="60">
        <f t="shared" ref="EP69:EP132" si="100">$EP$3</f>
        <v>283.48738729114024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>
        <f>EXP(-LN(2)/35)*EV68+(1-EXP(-LN(2)/35))/(LN(2)/35)*ER69*ES69*VLOOKUP('Données projet'!$B$15,Paramètres!$A$1:$I$89,3,0)*0.475*44/12</f>
        <v>0</v>
      </c>
      <c r="EW69" s="23">
        <f>EXP(-LN(2)/25)*EW68+(1-EXP(-LN(2)/25))/(LN(2)/25)*Calculateur!ER69*Calculateur!ET69*VLOOKUP('Données projet'!$B$15,Paramètres!$A$1:$I$89,3,0)*0.475*44/12</f>
        <v>0</v>
      </c>
      <c r="EX69" s="23">
        <f>EXP(-LN(2)/2)*EX68+(1-EXP(-LN(2)/2))/(LN(2)/2)*ER69*EU69*VLOOKUP('Données projet'!$B$15,Paramètres!$A$1:$I$89,3,0)*0.475*44/12</f>
        <v>0</v>
      </c>
      <c r="EY69" s="24">
        <f t="shared" si="75"/>
        <v>0</v>
      </c>
      <c r="EZ69" s="77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0" t="e">
        <f t="shared" si="77"/>
        <v>#N/A</v>
      </c>
      <c r="FJ69" s="60" t="e">
        <f ca="1">AVERAGE(OFFSET($FI$3,0,0,'Données projet'!$E$16+1,1))-AVERAGE(OFFSET($H$3,0,0,'Données projet'!$E$16+1,1))</f>
        <v>#N/A</v>
      </c>
      <c r="FK69" s="60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77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0" t="e">
        <f t="shared" si="80"/>
        <v>#N/A</v>
      </c>
      <c r="GE69" s="60" t="e">
        <f ca="1">AVERAGE(OFFSET($GD$3,0,0,'Données projet'!$E$17+1,1))-AVERAGE(OFFSET($H$3,0,0,'Données projet'!$E$17+1,1))</f>
        <v>#N/A</v>
      </c>
      <c r="GF69" s="60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77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0" t="e">
        <f t="shared" si="83"/>
        <v>#N/A</v>
      </c>
      <c r="GZ69" s="60" t="e">
        <f ca="1">AVERAGE(OFFSET($GY$3,0,0,'Données projet'!$E$18+1,1))-AVERAGE(OFFSET($H$3,0,0,'Données projet'!$E$18+1,1))</f>
        <v>#N/A</v>
      </c>
      <c r="HA69" s="60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25">
      <c r="A70" s="11">
        <f t="shared" si="85"/>
        <v>67</v>
      </c>
      <c r="B70" s="74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2">
        <f t="shared" si="86"/>
        <v>0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0</v>
      </c>
      <c r="H70" s="67">
        <f t="shared" si="56"/>
        <v>256.66666666666669</v>
      </c>
      <c r="I70" s="7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4.7435897435897401</v>
      </c>
      <c r="N70" s="14">
        <f>IF('Données projet'!$A$36&gt;35,N69+M70-V69,IF(A70&lt;'Données projet'!$A$36,$K$205^A70,IF(A70='Données projet'!$A$36,'Données projet'!$B$36,N69+M70-V69)))</f>
        <v>225.51282051282044</v>
      </c>
      <c r="O70" s="14">
        <f>N70*VLOOKUP('Données projet'!$B$9,Paramètres!$A$1:$I$89,3,0)*VLOOKUP('Données projet'!$B$9,Paramètres!$A$1:$I$89,5,0)</f>
        <v>214.5979999999999</v>
      </c>
      <c r="P70" s="14">
        <f t="shared" si="87"/>
        <v>52.939094303283817</v>
      </c>
      <c r="Q70" s="22">
        <f t="shared" si="54"/>
        <v>465.96043924488578</v>
      </c>
      <c r="R70" s="60">
        <f t="shared" si="55"/>
        <v>759.29377257821909</v>
      </c>
      <c r="S70" s="60">
        <f ca="1">AVERAGE(OFFSET($R$3,0,0,'Données projet'!$E$9+1,1))-AVERAGE(OFFSET($H$3,0,0,'Données projet'!$E$9+1,1))</f>
        <v>403.49781966317852</v>
      </c>
      <c r="T70" s="60">
        <f t="shared" si="88"/>
        <v>326.06674572505409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0</v>
      </c>
      <c r="AA70" s="23">
        <f>EXP(-LN(2)/25)*AA69+(1-EXP(-LN(2)/25))/(LN(2)/25)*Calculateur!V70*Calculateur!X70*VLOOKUP('Données projet'!$B$9,Paramètres!$A$1:$I$89,3,0)*0.475*44/12</f>
        <v>0</v>
      </c>
      <c r="AB70" s="23">
        <f>EXP(-LN(2)/2)*AB69+(1-EXP(-LN(2)/2))/(LN(2)/2)*V70*Y70*VLOOKUP('Données projet'!$B$9,Paramètres!$A$1:$I$89,3,0)*0.475*44/12</f>
        <v>0</v>
      </c>
      <c r="AC70" s="24">
        <f t="shared" si="57"/>
        <v>0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3</v>
      </c>
      <c r="AI70" s="14">
        <f>IF('Données projet'!$A$62&gt;35,AI69+AH70-AQ69,IF(A70&lt;'Données projet'!$A$62,$AF$205^A70,IF(A70='Données projet'!$A$62,'Données projet'!$B$62,AI69+AH70-AQ69)))</f>
        <v>199.99999999999989</v>
      </c>
      <c r="AJ70" s="14">
        <f>AI70*VLOOKUP('Données projet'!$B$10,Paramètres!$A$1:$I$89,3,0)*VLOOKUP('Données projet'!$B$10,Paramètres!$A$1:$I$89,5,0)</f>
        <v>174.71999999999991</v>
      </c>
      <c r="AK70" s="14">
        <f t="shared" si="89"/>
        <v>44.145455754865203</v>
      </c>
      <c r="AL70" s="22">
        <f t="shared" si="58"/>
        <v>381.19066877305676</v>
      </c>
      <c r="AM70" s="60">
        <f t="shared" si="59"/>
        <v>674.52400210639007</v>
      </c>
      <c r="AN70" s="60">
        <f ca="1">AVERAGE(OFFSET($AM$3,0,0,'Données projet'!$E$10+1,1))-AVERAGE(OFFSET($H$3,0,0,'Données projet'!$E$10+1,1))</f>
        <v>274.66236526869056</v>
      </c>
      <c r="AO70" s="60">
        <f t="shared" si="90"/>
        <v>256.90876395053073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>
        <f>EXP(-LN(2)/35)*AU69+(1-EXP(-LN(2)/35))/(LN(2)/35)*AQ70*AR70*VLOOKUP('Données projet'!$B$10,Paramètres!$A$1:$I$89,3,0)*0.475*44/12</f>
        <v>0</v>
      </c>
      <c r="AV70" s="23">
        <f>EXP(-LN(2)/25)*AV69+(1-EXP(-LN(2)/25))/(LN(2)/25)*Calculateur!AQ70*Calculateur!AS70*VLOOKUP('Données projet'!$B$10,Paramètres!$A$1:$I$89,3,0)*0.475*44/12</f>
        <v>0</v>
      </c>
      <c r="AW70" s="23">
        <f>EXP(-LN(2)/2)*AW69+(1-EXP(-LN(2)/2))/(LN(2)/2)*AQ70*AT70*VLOOKUP('Données projet'!$B$10,Paramètres!$A$1:$I$89,3,0)*0.475*44/12</f>
        <v>0</v>
      </c>
      <c r="AX70" s="23">
        <f t="shared" si="60"/>
        <v>0</v>
      </c>
      <c r="AY70" s="76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8.1999999999999993</v>
      </c>
      <c r="BD70" s="13">
        <f>IF('Données projet'!$A$88&gt;35,BD69+BC70-BL69,IF(A70&lt;'Données projet'!$A$88,$BA$205^A70,IF(A70='Données projet'!$A$88,'Données projet'!$B$88,BD69+BC70-BL69)))</f>
        <v>277.39999999999998</v>
      </c>
      <c r="BE70" s="14">
        <f>BD70*VLOOKUP('Données projet'!$B$11,Paramètres!$A$1:$I$89,3,0)*VLOOKUP('Données projet'!$B$11,Paramètres!$A$1:$I$89,5,0)</f>
        <v>250.99151999999995</v>
      </c>
      <c r="BF70" s="14">
        <f t="shared" si="91"/>
        <v>60.798211000769406</v>
      </c>
      <c r="BG70" s="22">
        <f t="shared" si="61"/>
        <v>543.03378149300659</v>
      </c>
      <c r="BH70" s="60">
        <f t="shared" si="62"/>
        <v>836.36711482633996</v>
      </c>
      <c r="BI70" s="60">
        <f ca="1">AVERAGE(OFFSET($BH$3,0,0,'Données projet'!$E$11+1,1))-AVERAGE(OFFSET($H$3,0,0,'Données projet'!$E$11+1,1))</f>
        <v>529.25712986118265</v>
      </c>
      <c r="BJ70" s="60">
        <f t="shared" si="92"/>
        <v>278.21741231699929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>
        <f>EXP(-LN(2)/35)*BP69+(1-EXP(-LN(2)/35))/(LN(2)/35)*BL70*BM70*VLOOKUP('Données projet'!$B$11,Paramètres!$A$1:$I$89,3,0)*0.475*44/12</f>
        <v>0</v>
      </c>
      <c r="BQ70" s="23">
        <f>EXP(-LN(2)/25)*BQ69+(1-EXP(-LN(2)/25))/(LN(2)/25)*Calculateur!BL70*Calculateur!BN70*VLOOKUP('Données projet'!$B$11,Paramètres!$A$1:$I$89,3,0)*0.475*44/12</f>
        <v>0</v>
      </c>
      <c r="BR70" s="23">
        <f>EXP(-LN(2)/2)*BR69+(1-EXP(-LN(2)/2))/(LN(2)/2)*BL70*BO70*VLOOKUP('Données projet'!$B$11,Paramètres!$A$1:$I$89,3,0)*0.475*44/12</f>
        <v>0</v>
      </c>
      <c r="BS70" s="24">
        <f t="shared" si="63"/>
        <v>0</v>
      </c>
      <c r="BT70" s="77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8.1999999999999993</v>
      </c>
      <c r="BY70" s="13">
        <f>IF('Données projet'!$A$114&gt;35,BY69+BX70-CG69,IF(A70&lt;'Données projet'!$A$114,$BV$205^A70,IF(A70='Données projet'!$A$114,'Données projet'!$B$114,BY69+BX70-CG69)))</f>
        <v>277.39999999999998</v>
      </c>
      <c r="BZ70" s="14">
        <f>BY70*VLOOKUP('Données projet'!$B$12,Paramètres!$A$1:$I$89,3,0)*VLOOKUP('Données projet'!$B$12,Paramètres!$A$1:$I$89,5,0)</f>
        <v>281.28360000000004</v>
      </c>
      <c r="CA70" s="14">
        <f t="shared" si="93"/>
        <v>67.238198209347928</v>
      </c>
      <c r="CB70" s="22">
        <f t="shared" si="64"/>
        <v>607.00879854794766</v>
      </c>
      <c r="CC70" s="60">
        <f t="shared" si="65"/>
        <v>900.34213188128092</v>
      </c>
      <c r="CD70" s="60">
        <f ca="1">AVERAGE(OFFSET($CC$3,0,0,'Données projet'!$E$12+1,1))-AVERAGE(OFFSET($H$3,0,0,'Données projet'!$E$12+1,1))</f>
        <v>587.74247372331615</v>
      </c>
      <c r="CE70" s="60">
        <f t="shared" si="94"/>
        <v>306.61893266146666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>
        <f>EXP(-LN(2)/35)*CK69+(1-EXP(-LN(2)/35))/(LN(2)/35)*CG70*CH70*VLOOKUP('Données projet'!$B$12,Paramètres!$A$1:$I$89,3,0)*0.475*44/12</f>
        <v>0</v>
      </c>
      <c r="CL70" s="23">
        <f>EXP(-LN(2)/25)*CL69+(1-EXP(-LN(2)/25))/(LN(2)/25)*Calculateur!CG70*Calculateur!CI70*VLOOKUP('Données projet'!$B$12,Paramètres!$A$1:$I$89,3,0)*0.475*44/12</f>
        <v>0</v>
      </c>
      <c r="CM70" s="23">
        <f>EXP(-LN(2)/2)*CM69+(1-EXP(-LN(2)/2))/(LN(2)/2)*CG70*CJ70*VLOOKUP('Données projet'!$B$12,Paramètres!$A$1:$I$89,3,0)*0.475*44/12</f>
        <v>0</v>
      </c>
      <c r="CN70" s="24">
        <f t="shared" si="66"/>
        <v>0</v>
      </c>
      <c r="CO70" s="77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8.1999999999999993</v>
      </c>
      <c r="CT70" s="13">
        <f>IF('Données projet'!$A$140&gt;35,CT69+CS70-DB69,IF(A70&lt;'Données projet'!$A$140,$CQ$205^A70,IF(A70='Données projet'!$A$140,'Données projet'!$B$140,CT69+CS70-DB69)))</f>
        <v>277.39999999999998</v>
      </c>
      <c r="CU70" s="18">
        <f>CT70*VLOOKUP('Données projet'!$B$13,Paramètres!$A$1:$I$89,3,0)*VLOOKUP('Données projet'!$B$13,Paramètres!$A$1:$I$89,5,0)</f>
        <v>298.59335999999996</v>
      </c>
      <c r="CV70" s="14">
        <f t="shared" si="95"/>
        <v>70.88149709045409</v>
      </c>
      <c r="CW70" s="22">
        <f t="shared" si="67"/>
        <v>643.50204276587419</v>
      </c>
      <c r="CX70" s="60">
        <f t="shared" si="68"/>
        <v>936.83537609920745</v>
      </c>
      <c r="CY70" s="60">
        <f ca="1">AVERAGE(OFFSET($CX$3,0,0,'Données projet'!$E$13+1,1))-AVERAGE(OFFSET($H$3,0,0,'Données projet'!$E$13+1,1))</f>
        <v>621.10465023992288</v>
      </c>
      <c r="CZ70" s="60">
        <f t="shared" si="96"/>
        <v>322.81767004794284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>
        <f>EXP(-LN(2)/35)*DF69+(1-EXP(-LN(2)/35))/(LN(2)/35)*DB70*DC70*VLOOKUP('Données projet'!$B$13,Paramètres!$A$1:$I$89,3,0)*0.475*44/12</f>
        <v>0</v>
      </c>
      <c r="DG70" s="23">
        <f>EXP(-LN(2)/25)*DG69+(1-EXP(-LN(2)/25))/(LN(2)/25)*Calculateur!DB70*Calculateur!DD70*VLOOKUP('Données projet'!$B$13,Paramètres!$A$1:$I$89,3,0)*0.475*44/12</f>
        <v>0</v>
      </c>
      <c r="DH70" s="23">
        <f>EXP(-LN(2)/2)*DH69+(1-EXP(-LN(2)/2))/(LN(2)/2)*DB70*DE70*VLOOKUP('Données projet'!$B$13,Paramètres!$A$1:$I$89,3,0)*0.475*44/12</f>
        <v>0</v>
      </c>
      <c r="DI70" s="24">
        <f t="shared" si="69"/>
        <v>0</v>
      </c>
      <c r="DJ70" s="77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8.1999999999999993</v>
      </c>
      <c r="DO70" s="13">
        <f>IF('Données projet'!$A$166&gt;35,DO69+DN70-DW69,IF(A70&lt;'Données projet'!$A$166,$DL$205^A70,IF(A70='Données projet'!$A$166,'Données projet'!$B$166,DO69+DN70-DW69)))</f>
        <v>277.39999999999998</v>
      </c>
      <c r="DP70" s="18">
        <f>DO70*VLOOKUP('Données projet'!$B$14,Paramètres!$A$1:$I$89,3,0)*VLOOKUP('Données projet'!$B$14,Paramètres!$A$1:$I$89,5,0)</f>
        <v>268.30127999999996</v>
      </c>
      <c r="DQ70" s="14">
        <f t="shared" si="97"/>
        <v>64.488625713042012</v>
      </c>
      <c r="DR70" s="22">
        <f t="shared" si="70"/>
        <v>579.60908578354815</v>
      </c>
      <c r="DS70" s="60">
        <f t="shared" si="71"/>
        <v>872.94241911688141</v>
      </c>
      <c r="DT70" s="60">
        <f ca="1">AVERAGE(OFFSET($DS$3,0,0,'Données projet'!$E$14+1,1))-AVERAGE(OFFSET($H$3,0,0,'Données projet'!$E$14+1,1))</f>
        <v>562.69380557620775</v>
      </c>
      <c r="DU70" s="60">
        <f t="shared" si="98"/>
        <v>294.45557293177131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>
        <f>EXP(-LN(2)/35)*EA69+(1-EXP(-LN(2)/35))/(LN(2)/35)*DW70*DX70*VLOOKUP('Données projet'!$B$14,Paramètres!$A$1:$I$89,3,0)*0.475*44/12</f>
        <v>0</v>
      </c>
      <c r="EB70" s="23">
        <f>EXP(-LN(2)/25)*EB69+(1-EXP(-LN(2)/25))/(LN(2)/25)*Calculateur!DW70*Calculateur!DY70*VLOOKUP('Données projet'!$B$14,Paramètres!$A$1:$I$89,3,0)*0.475*44/12</f>
        <v>0</v>
      </c>
      <c r="EC70" s="23">
        <f>EXP(-LN(2)/2)*EC69+(1-EXP(-LN(2)/2))/(LN(2)/2)*DW70*DZ70*VLOOKUP('Données projet'!$B$14,Paramètres!$A$1:$I$89,3,0)*0.475*44/12</f>
        <v>0</v>
      </c>
      <c r="ED70" s="24">
        <f t="shared" si="72"/>
        <v>0</v>
      </c>
      <c r="EE70" s="77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8.6666666666666661</v>
      </c>
      <c r="EJ70" s="13">
        <f>IF('Données projet'!$A$192&gt;35,EJ69+EI70-ER69,IF(A70&lt;'Données projet'!$A$192,$EG$205^A70,IF(A70='Données projet'!$A$192,'Données projet'!$B$192,EJ69+EI70-ER69)))</f>
        <v>310.66666666666674</v>
      </c>
      <c r="EK70" s="18">
        <f>EJ70*VLOOKUP('Données projet'!$B$15,Paramètres!$A$1:$I$89,3,0)*VLOOKUP('Données projet'!$B$15,Paramètres!$A$1:$I$89,5,0)</f>
        <v>242.32000000000008</v>
      </c>
      <c r="EL70" s="14">
        <f t="shared" si="99"/>
        <v>58.938409961900909</v>
      </c>
      <c r="EM70" s="22">
        <f t="shared" si="73"/>
        <v>524.69173068364421</v>
      </c>
      <c r="EN70" s="60">
        <f t="shared" si="74"/>
        <v>818.02506401697747</v>
      </c>
      <c r="EO70" s="60">
        <f ca="1">AVERAGE(OFFSET($EN$3,0,0,'Données projet'!$E$15+1,1))-AVERAGE(OFFSET($H$3,0,0,'Données projet'!$E$15+1,1))</f>
        <v>292.57482726862594</v>
      </c>
      <c r="EP70" s="60">
        <f t="shared" si="100"/>
        <v>283.48738729114024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>
        <f>EXP(-LN(2)/35)*EV69+(1-EXP(-LN(2)/35))/(LN(2)/35)*ER70*ES70*VLOOKUP('Données projet'!$B$15,Paramètres!$A$1:$I$89,3,0)*0.475*44/12</f>
        <v>0</v>
      </c>
      <c r="EW70" s="23">
        <f>EXP(-LN(2)/25)*EW69+(1-EXP(-LN(2)/25))/(LN(2)/25)*Calculateur!ER70*Calculateur!ET70*VLOOKUP('Données projet'!$B$15,Paramètres!$A$1:$I$89,3,0)*0.475*44/12</f>
        <v>0</v>
      </c>
      <c r="EX70" s="23">
        <f>EXP(-LN(2)/2)*EX69+(1-EXP(-LN(2)/2))/(LN(2)/2)*ER70*EU70*VLOOKUP('Données projet'!$B$15,Paramètres!$A$1:$I$89,3,0)*0.475*44/12</f>
        <v>0</v>
      </c>
      <c r="EY70" s="24">
        <f t="shared" si="75"/>
        <v>0</v>
      </c>
      <c r="EZ70" s="77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0" t="e">
        <f t="shared" si="77"/>
        <v>#N/A</v>
      </c>
      <c r="FJ70" s="60" t="e">
        <f ca="1">AVERAGE(OFFSET($FI$3,0,0,'Données projet'!$E$16+1,1))-AVERAGE(OFFSET($H$3,0,0,'Données projet'!$E$16+1,1))</f>
        <v>#N/A</v>
      </c>
      <c r="FK70" s="60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77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0" t="e">
        <f t="shared" si="80"/>
        <v>#N/A</v>
      </c>
      <c r="GE70" s="60" t="e">
        <f ca="1">AVERAGE(OFFSET($GD$3,0,0,'Données projet'!$E$17+1,1))-AVERAGE(OFFSET($H$3,0,0,'Données projet'!$E$17+1,1))</f>
        <v>#N/A</v>
      </c>
      <c r="GF70" s="60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77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0" t="e">
        <f t="shared" si="83"/>
        <v>#N/A</v>
      </c>
      <c r="GZ70" s="60" t="e">
        <f ca="1">AVERAGE(OFFSET($GY$3,0,0,'Données projet'!$E$18+1,1))-AVERAGE(OFFSET($H$3,0,0,'Données projet'!$E$18+1,1))</f>
        <v>#N/A</v>
      </c>
      <c r="HA70" s="60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25">
      <c r="A71" s="11">
        <f t="shared" si="85"/>
        <v>68</v>
      </c>
      <c r="B71" s="74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2">
        <f t="shared" si="86"/>
        <v>0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0</v>
      </c>
      <c r="H71" s="67">
        <f t="shared" si="56"/>
        <v>256.66666666666669</v>
      </c>
      <c r="I71" s="7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4.7435897435897401</v>
      </c>
      <c r="N71" s="14">
        <f>IF('Données projet'!$A$36&gt;35,N70+M71-V70,IF(A71&lt;'Données projet'!$A$36,$K$205^A71,IF(A71='Données projet'!$A$36,'Données projet'!$B$36,N70+M71-V70)))</f>
        <v>230.25641025641019</v>
      </c>
      <c r="O71" s="14">
        <f>N71*VLOOKUP('Données projet'!$B$9,Paramètres!$A$1:$I$89,3,0)*VLOOKUP('Données projet'!$B$9,Paramètres!$A$1:$I$89,5,0)</f>
        <v>219.11199999999994</v>
      </c>
      <c r="P71" s="14">
        <f t="shared" si="87"/>
        <v>53.921837900358042</v>
      </c>
      <c r="Q71" s="22">
        <f t="shared" si="54"/>
        <v>475.53393434312346</v>
      </c>
      <c r="R71" s="60">
        <f t="shared" si="55"/>
        <v>768.86726767645678</v>
      </c>
      <c r="S71" s="60">
        <f ca="1">AVERAGE(OFFSET($R$3,0,0,'Données projet'!$E$9+1,1))-AVERAGE(OFFSET($H$3,0,0,'Données projet'!$E$9+1,1))</f>
        <v>403.49781966317852</v>
      </c>
      <c r="T71" s="60">
        <f t="shared" si="88"/>
        <v>326.06674572505409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0</v>
      </c>
      <c r="AA71" s="23">
        <f>EXP(-LN(2)/25)*AA70+(1-EXP(-LN(2)/25))/(LN(2)/25)*Calculateur!V71*Calculateur!X71*VLOOKUP('Données projet'!$B$9,Paramètres!$A$1:$I$89,3,0)*0.475*44/12</f>
        <v>0</v>
      </c>
      <c r="AB71" s="23">
        <f>EXP(-LN(2)/2)*AB70+(1-EXP(-LN(2)/2))/(LN(2)/2)*V71*Y71*VLOOKUP('Données projet'!$B$9,Paramètres!$A$1:$I$89,3,0)*0.475*44/12</f>
        <v>0</v>
      </c>
      <c r="AC71" s="24">
        <f t="shared" si="57"/>
        <v>0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3</v>
      </c>
      <c r="AI71" s="14">
        <f>IF('Données projet'!$A$62&gt;35,AI70+AH71-AQ70,IF(A71&lt;'Données projet'!$A$62,$AF$205^A71,IF(A71='Données projet'!$A$62,'Données projet'!$B$62,AI70+AH71-AQ70)))</f>
        <v>202.99999999999989</v>
      </c>
      <c r="AJ71" s="14">
        <f>AI71*VLOOKUP('Données projet'!$B$10,Paramètres!$A$1:$I$89,3,0)*VLOOKUP('Données projet'!$B$10,Paramètres!$A$1:$I$89,5,0)</f>
        <v>177.34079999999992</v>
      </c>
      <c r="AK71" s="14">
        <f t="shared" si="89"/>
        <v>44.73005165860306</v>
      </c>
      <c r="AL71" s="22">
        <f t="shared" si="58"/>
        <v>386.7733999720669</v>
      </c>
      <c r="AM71" s="60">
        <f t="shared" si="59"/>
        <v>680.10673330540021</v>
      </c>
      <c r="AN71" s="60">
        <f ca="1">AVERAGE(OFFSET($AM$3,0,0,'Données projet'!$E$10+1,1))-AVERAGE(OFFSET($H$3,0,0,'Données projet'!$E$10+1,1))</f>
        <v>274.66236526869056</v>
      </c>
      <c r="AO71" s="60">
        <f t="shared" si="90"/>
        <v>256.90876395053073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>
        <f>EXP(-LN(2)/35)*AU70+(1-EXP(-LN(2)/35))/(LN(2)/35)*AQ71*AR71*VLOOKUP('Données projet'!$B$10,Paramètres!$A$1:$I$89,3,0)*0.475*44/12</f>
        <v>0</v>
      </c>
      <c r="AV71" s="23">
        <f>EXP(-LN(2)/25)*AV70+(1-EXP(-LN(2)/25))/(LN(2)/25)*Calculateur!AQ71*Calculateur!AS71*VLOOKUP('Données projet'!$B$10,Paramètres!$A$1:$I$89,3,0)*0.475*44/12</f>
        <v>0</v>
      </c>
      <c r="AW71" s="23">
        <f>EXP(-LN(2)/2)*AW70+(1-EXP(-LN(2)/2))/(LN(2)/2)*AQ71*AT71*VLOOKUP('Données projet'!$B$10,Paramètres!$A$1:$I$89,3,0)*0.475*44/12</f>
        <v>0</v>
      </c>
      <c r="AX71" s="23">
        <f t="shared" si="60"/>
        <v>0</v>
      </c>
      <c r="AY71" s="76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8.1999999999999993</v>
      </c>
      <c r="BD71" s="13">
        <f>IF('Données projet'!$A$88&gt;35,BD70+BC71-BL70,IF(A71&lt;'Données projet'!$A$88,$BA$205^A71,IF(A71='Données projet'!$A$88,'Données projet'!$B$88,BD70+BC71-BL70)))</f>
        <v>285.59999999999997</v>
      </c>
      <c r="BE71" s="14">
        <f>BD71*VLOOKUP('Données projet'!$B$11,Paramètres!$A$1:$I$89,3,0)*VLOOKUP('Données projet'!$B$11,Paramètres!$A$1:$I$89,5,0)</f>
        <v>258.41087999999996</v>
      </c>
      <c r="BF71" s="14">
        <f t="shared" si="91"/>
        <v>62.383521020316756</v>
      </c>
      <c r="BG71" s="22">
        <f t="shared" si="61"/>
        <v>558.71691511038489</v>
      </c>
      <c r="BH71" s="60">
        <f t="shared" si="62"/>
        <v>852.05024844371815</v>
      </c>
      <c r="BI71" s="60">
        <f ca="1">AVERAGE(OFFSET($BH$3,0,0,'Données projet'!$E$11+1,1))-AVERAGE(OFFSET($H$3,0,0,'Données projet'!$E$11+1,1))</f>
        <v>529.25712986118265</v>
      </c>
      <c r="BJ71" s="60">
        <f t="shared" si="92"/>
        <v>278.21741231699929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>
        <f>EXP(-LN(2)/35)*BP70+(1-EXP(-LN(2)/35))/(LN(2)/35)*BL71*BM71*VLOOKUP('Données projet'!$B$11,Paramètres!$A$1:$I$89,3,0)*0.475*44/12</f>
        <v>0</v>
      </c>
      <c r="BQ71" s="23">
        <f>EXP(-LN(2)/25)*BQ70+(1-EXP(-LN(2)/25))/(LN(2)/25)*Calculateur!BL71*Calculateur!BN71*VLOOKUP('Données projet'!$B$11,Paramètres!$A$1:$I$89,3,0)*0.475*44/12</f>
        <v>0</v>
      </c>
      <c r="BR71" s="23">
        <f>EXP(-LN(2)/2)*BR70+(1-EXP(-LN(2)/2))/(LN(2)/2)*BL71*BO71*VLOOKUP('Données projet'!$B$11,Paramètres!$A$1:$I$89,3,0)*0.475*44/12</f>
        <v>0</v>
      </c>
      <c r="BS71" s="24">
        <f t="shared" si="63"/>
        <v>0</v>
      </c>
      <c r="BT71" s="77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8.1999999999999993</v>
      </c>
      <c r="BY71" s="13">
        <f>IF('Données projet'!$A$114&gt;35,BY70+BX71-CG70,IF(A71&lt;'Données projet'!$A$114,$BV$205^A71,IF(A71='Données projet'!$A$114,'Données projet'!$B$114,BY70+BX71-CG70)))</f>
        <v>285.59999999999997</v>
      </c>
      <c r="BZ71" s="14">
        <f>BY71*VLOOKUP('Données projet'!$B$12,Paramètres!$A$1:$I$89,3,0)*VLOOKUP('Données projet'!$B$12,Paramètres!$A$1:$I$89,5,0)</f>
        <v>289.59839999999997</v>
      </c>
      <c r="CA71" s="14">
        <f t="shared" si="93"/>
        <v>68.991430542388798</v>
      </c>
      <c r="CB71" s="22">
        <f t="shared" si="64"/>
        <v>624.54395486132705</v>
      </c>
      <c r="CC71" s="60">
        <f t="shared" si="65"/>
        <v>917.87728819466042</v>
      </c>
      <c r="CD71" s="60">
        <f ca="1">AVERAGE(OFFSET($CC$3,0,0,'Données projet'!$E$12+1,1))-AVERAGE(OFFSET($H$3,0,0,'Données projet'!$E$12+1,1))</f>
        <v>587.74247372331615</v>
      </c>
      <c r="CE71" s="60">
        <f t="shared" si="94"/>
        <v>306.61893266146666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>
        <f>EXP(-LN(2)/35)*CK70+(1-EXP(-LN(2)/35))/(LN(2)/35)*CG71*CH71*VLOOKUP('Données projet'!$B$12,Paramètres!$A$1:$I$89,3,0)*0.475*44/12</f>
        <v>0</v>
      </c>
      <c r="CL71" s="23">
        <f>EXP(-LN(2)/25)*CL70+(1-EXP(-LN(2)/25))/(LN(2)/25)*Calculateur!CG71*Calculateur!CI71*VLOOKUP('Données projet'!$B$12,Paramètres!$A$1:$I$89,3,0)*0.475*44/12</f>
        <v>0</v>
      </c>
      <c r="CM71" s="23">
        <f>EXP(-LN(2)/2)*CM70+(1-EXP(-LN(2)/2))/(LN(2)/2)*CG71*CJ71*VLOOKUP('Données projet'!$B$12,Paramètres!$A$1:$I$89,3,0)*0.475*44/12</f>
        <v>0</v>
      </c>
      <c r="CN71" s="24">
        <f t="shared" si="66"/>
        <v>0</v>
      </c>
      <c r="CO71" s="77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8.1999999999999993</v>
      </c>
      <c r="CT71" s="13">
        <f>IF('Données projet'!$A$140&gt;35,CT70+CS71-DB70,IF(A71&lt;'Données projet'!$A$140,$CQ$205^A71,IF(A71='Données projet'!$A$140,'Données projet'!$B$140,CT70+CS71-DB70)))</f>
        <v>285.59999999999997</v>
      </c>
      <c r="CU71" s="18">
        <f>CT71*VLOOKUP('Données projet'!$B$13,Paramètres!$A$1:$I$89,3,0)*VLOOKUP('Données projet'!$B$13,Paramètres!$A$1:$I$89,5,0)</f>
        <v>307.41983999999997</v>
      </c>
      <c r="CV71" s="14">
        <f t="shared" si="95"/>
        <v>72.729728242133774</v>
      </c>
      <c r="CW71" s="22">
        <f t="shared" si="67"/>
        <v>662.09383135504959</v>
      </c>
      <c r="CX71" s="60">
        <f t="shared" si="68"/>
        <v>955.42716468838285</v>
      </c>
      <c r="CY71" s="60">
        <f ca="1">AVERAGE(OFFSET($CX$3,0,0,'Données projet'!$E$13+1,1))-AVERAGE(OFFSET($H$3,0,0,'Données projet'!$E$13+1,1))</f>
        <v>621.10465023992288</v>
      </c>
      <c r="CZ71" s="60">
        <f t="shared" si="96"/>
        <v>322.81767004794284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>
        <f>EXP(-LN(2)/35)*DF70+(1-EXP(-LN(2)/35))/(LN(2)/35)*DB71*DC71*VLOOKUP('Données projet'!$B$13,Paramètres!$A$1:$I$89,3,0)*0.475*44/12</f>
        <v>0</v>
      </c>
      <c r="DG71" s="23">
        <f>EXP(-LN(2)/25)*DG70+(1-EXP(-LN(2)/25))/(LN(2)/25)*Calculateur!DB71*Calculateur!DD71*VLOOKUP('Données projet'!$B$13,Paramètres!$A$1:$I$89,3,0)*0.475*44/12</f>
        <v>0</v>
      </c>
      <c r="DH71" s="23">
        <f>EXP(-LN(2)/2)*DH70+(1-EXP(-LN(2)/2))/(LN(2)/2)*DB71*DE71*VLOOKUP('Données projet'!$B$13,Paramètres!$A$1:$I$89,3,0)*0.475*44/12</f>
        <v>0</v>
      </c>
      <c r="DI71" s="24">
        <f t="shared" si="69"/>
        <v>0</v>
      </c>
      <c r="DJ71" s="77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8.1999999999999993</v>
      </c>
      <c r="DO71" s="13">
        <f>IF('Données projet'!$A$166&gt;35,DO70+DN71-DW70,IF(A71&lt;'Données projet'!$A$166,$DL$205^A71,IF(A71='Données projet'!$A$166,'Données projet'!$B$166,DO70+DN71-DW70)))</f>
        <v>285.59999999999997</v>
      </c>
      <c r="DP71" s="18">
        <f>DO71*VLOOKUP('Données projet'!$B$14,Paramètres!$A$1:$I$89,3,0)*VLOOKUP('Données projet'!$B$14,Paramètres!$A$1:$I$89,5,0)</f>
        <v>276.23231999999996</v>
      </c>
      <c r="DQ71" s="14">
        <f t="shared" si="97"/>
        <v>66.170163093943458</v>
      </c>
      <c r="DR71" s="22">
        <f t="shared" si="70"/>
        <v>596.35099138861813</v>
      </c>
      <c r="DS71" s="60">
        <f t="shared" si="71"/>
        <v>889.6843247219515</v>
      </c>
      <c r="DT71" s="60">
        <f ca="1">AVERAGE(OFFSET($DS$3,0,0,'Données projet'!$E$14+1,1))-AVERAGE(OFFSET($H$3,0,0,'Données projet'!$E$14+1,1))</f>
        <v>562.69380557620775</v>
      </c>
      <c r="DU71" s="60">
        <f t="shared" si="98"/>
        <v>294.45557293177131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>
        <f>EXP(-LN(2)/35)*EA70+(1-EXP(-LN(2)/35))/(LN(2)/35)*DW71*DX71*VLOOKUP('Données projet'!$B$14,Paramètres!$A$1:$I$89,3,0)*0.475*44/12</f>
        <v>0</v>
      </c>
      <c r="EB71" s="23">
        <f>EXP(-LN(2)/25)*EB70+(1-EXP(-LN(2)/25))/(LN(2)/25)*Calculateur!DW71*Calculateur!DY71*VLOOKUP('Données projet'!$B$14,Paramètres!$A$1:$I$89,3,0)*0.475*44/12</f>
        <v>0</v>
      </c>
      <c r="EC71" s="23">
        <f>EXP(-LN(2)/2)*EC70+(1-EXP(-LN(2)/2))/(LN(2)/2)*DW71*DZ71*VLOOKUP('Données projet'!$B$14,Paramètres!$A$1:$I$89,3,0)*0.475*44/12</f>
        <v>0</v>
      </c>
      <c r="ED71" s="24">
        <f t="shared" si="72"/>
        <v>0</v>
      </c>
      <c r="EE71" s="77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8.6666666666666661</v>
      </c>
      <c r="EJ71" s="13">
        <f>IF('Données projet'!$A$192&gt;35,EJ70+EI71-ER70,IF(A71&lt;'Données projet'!$A$192,$EG$205^A71,IF(A71='Données projet'!$A$192,'Données projet'!$B$192,EJ70+EI71-ER70)))</f>
        <v>319.33333333333343</v>
      </c>
      <c r="EK71" s="18">
        <f>EJ71*VLOOKUP('Données projet'!$B$15,Paramètres!$A$1:$I$89,3,0)*VLOOKUP('Données projet'!$B$15,Paramètres!$A$1:$I$89,5,0)</f>
        <v>249.08000000000007</v>
      </c>
      <c r="EL71" s="14">
        <f t="shared" si="99"/>
        <v>60.388894447487807</v>
      </c>
      <c r="EM71" s="22">
        <f t="shared" si="73"/>
        <v>538.99165782937473</v>
      </c>
      <c r="EN71" s="60">
        <f t="shared" si="74"/>
        <v>832.3249911627081</v>
      </c>
      <c r="EO71" s="60">
        <f ca="1">AVERAGE(OFFSET($EN$3,0,0,'Données projet'!$E$15+1,1))-AVERAGE(OFFSET($H$3,0,0,'Données projet'!$E$15+1,1))</f>
        <v>292.57482726862594</v>
      </c>
      <c r="EP71" s="60">
        <f t="shared" si="100"/>
        <v>283.48738729114024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>
        <f>EXP(-LN(2)/35)*EV70+(1-EXP(-LN(2)/35))/(LN(2)/35)*ER71*ES71*VLOOKUP('Données projet'!$B$15,Paramètres!$A$1:$I$89,3,0)*0.475*44/12</f>
        <v>0</v>
      </c>
      <c r="EW71" s="23">
        <f>EXP(-LN(2)/25)*EW70+(1-EXP(-LN(2)/25))/(LN(2)/25)*Calculateur!ER71*Calculateur!ET71*VLOOKUP('Données projet'!$B$15,Paramètres!$A$1:$I$89,3,0)*0.475*44/12</f>
        <v>0</v>
      </c>
      <c r="EX71" s="23">
        <f>EXP(-LN(2)/2)*EX70+(1-EXP(-LN(2)/2))/(LN(2)/2)*ER71*EU71*VLOOKUP('Données projet'!$B$15,Paramètres!$A$1:$I$89,3,0)*0.475*44/12</f>
        <v>0</v>
      </c>
      <c r="EY71" s="24">
        <f t="shared" si="75"/>
        <v>0</v>
      </c>
      <c r="EZ71" s="77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0" t="e">
        <f t="shared" si="77"/>
        <v>#N/A</v>
      </c>
      <c r="FJ71" s="60" t="e">
        <f ca="1">AVERAGE(OFFSET($FI$3,0,0,'Données projet'!$E$16+1,1))-AVERAGE(OFFSET($H$3,0,0,'Données projet'!$E$16+1,1))</f>
        <v>#N/A</v>
      </c>
      <c r="FK71" s="60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77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0" t="e">
        <f t="shared" si="80"/>
        <v>#N/A</v>
      </c>
      <c r="GE71" s="60" t="e">
        <f ca="1">AVERAGE(OFFSET($GD$3,0,0,'Données projet'!$E$17+1,1))-AVERAGE(OFFSET($H$3,0,0,'Données projet'!$E$17+1,1))</f>
        <v>#N/A</v>
      </c>
      <c r="GF71" s="60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77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0" t="e">
        <f t="shared" si="83"/>
        <v>#N/A</v>
      </c>
      <c r="GZ71" s="60" t="e">
        <f ca="1">AVERAGE(OFFSET($GY$3,0,0,'Données projet'!$E$18+1,1))-AVERAGE(OFFSET($H$3,0,0,'Données projet'!$E$18+1,1))</f>
        <v>#N/A</v>
      </c>
      <c r="HA71" s="60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25">
      <c r="A72" s="11">
        <f t="shared" si="85"/>
        <v>69</v>
      </c>
      <c r="B72" s="74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2">
        <f t="shared" si="86"/>
        <v>0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0</v>
      </c>
      <c r="H72" s="67">
        <f t="shared" si="56"/>
        <v>256.66666666666669</v>
      </c>
      <c r="I72" s="7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4.7435897435897401</v>
      </c>
      <c r="N72" s="14">
        <f>IF('Données projet'!$A$36&gt;35,N71+M72-V71,IF(A72&lt;'Données projet'!$A$36,$K$205^A72,IF(A72='Données projet'!$A$36,'Données projet'!$B$36,N71+M72-V71)))</f>
        <v>234.99999999999994</v>
      </c>
      <c r="O72" s="14">
        <f>N72*VLOOKUP('Données projet'!$B$9,Paramètres!$A$1:$I$89,3,0)*VLOOKUP('Données projet'!$B$9,Paramètres!$A$1:$I$89,5,0)</f>
        <v>223.62599999999995</v>
      </c>
      <c r="P72" s="14">
        <f t="shared" si="87"/>
        <v>54.902227529974944</v>
      </c>
      <c r="Q72" s="22">
        <f t="shared" si="54"/>
        <v>485.1033296147063</v>
      </c>
      <c r="R72" s="60">
        <f t="shared" si="55"/>
        <v>778.43666294803961</v>
      </c>
      <c r="S72" s="60">
        <f ca="1">AVERAGE(OFFSET($R$3,0,0,'Données projet'!$E$9+1,1))-AVERAGE(OFFSET($H$3,0,0,'Données projet'!$E$9+1,1))</f>
        <v>403.49781966317852</v>
      </c>
      <c r="T72" s="60">
        <f t="shared" si="88"/>
        <v>326.06674572505409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0</v>
      </c>
      <c r="AA72" s="23">
        <f>EXP(-LN(2)/25)*AA71+(1-EXP(-LN(2)/25))/(LN(2)/25)*Calculateur!V72*Calculateur!X72*VLOOKUP('Données projet'!$B$9,Paramètres!$A$1:$I$89,3,0)*0.475*44/12</f>
        <v>0</v>
      </c>
      <c r="AB72" s="23">
        <f>EXP(-LN(2)/2)*AB71+(1-EXP(-LN(2)/2))/(LN(2)/2)*V72*Y72*VLOOKUP('Données projet'!$B$9,Paramètres!$A$1:$I$89,3,0)*0.475*44/12</f>
        <v>0</v>
      </c>
      <c r="AC72" s="24">
        <f t="shared" si="57"/>
        <v>0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3</v>
      </c>
      <c r="AI72" s="14">
        <f>IF('Données projet'!$A$62&gt;35,AI71+AH72-AQ71,IF(A72&lt;'Données projet'!$A$62,$AF$205^A72,IF(A72='Données projet'!$A$62,'Données projet'!$B$62,AI71+AH72-AQ71)))</f>
        <v>205.99999999999989</v>
      </c>
      <c r="AJ72" s="14">
        <f>AI72*VLOOKUP('Données projet'!$B$10,Paramètres!$A$1:$I$89,3,0)*VLOOKUP('Données projet'!$B$10,Paramètres!$A$1:$I$89,5,0)</f>
        <v>179.96159999999992</v>
      </c>
      <c r="AK72" s="14">
        <f t="shared" si="89"/>
        <v>45.313642767960104</v>
      </c>
      <c r="AL72" s="22">
        <f t="shared" si="58"/>
        <v>392.35438115419703</v>
      </c>
      <c r="AM72" s="60">
        <f t="shared" si="59"/>
        <v>685.68771448753034</v>
      </c>
      <c r="AN72" s="60">
        <f ca="1">AVERAGE(OFFSET($AM$3,0,0,'Données projet'!$E$10+1,1))-AVERAGE(OFFSET($H$3,0,0,'Données projet'!$E$10+1,1))</f>
        <v>274.66236526869056</v>
      </c>
      <c r="AO72" s="60">
        <f t="shared" si="90"/>
        <v>256.90876395053073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>
        <f>EXP(-LN(2)/35)*AU71+(1-EXP(-LN(2)/35))/(LN(2)/35)*AQ72*AR72*VLOOKUP('Données projet'!$B$10,Paramètres!$A$1:$I$89,3,0)*0.475*44/12</f>
        <v>0</v>
      </c>
      <c r="AV72" s="23">
        <f>EXP(-LN(2)/25)*AV71+(1-EXP(-LN(2)/25))/(LN(2)/25)*Calculateur!AQ72*Calculateur!AS72*VLOOKUP('Données projet'!$B$10,Paramètres!$A$1:$I$89,3,0)*0.475*44/12</f>
        <v>0</v>
      </c>
      <c r="AW72" s="23">
        <f>EXP(-LN(2)/2)*AW71+(1-EXP(-LN(2)/2))/(LN(2)/2)*AQ72*AT72*VLOOKUP('Données projet'!$B$10,Paramètres!$A$1:$I$89,3,0)*0.475*44/12</f>
        <v>0</v>
      </c>
      <c r="AX72" s="23">
        <f t="shared" si="60"/>
        <v>0</v>
      </c>
      <c r="AY72" s="76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8.1999999999999993</v>
      </c>
      <c r="BD72" s="13">
        <f>IF('Données projet'!$A$88&gt;35,BD71+BC72-BL71,IF(A72&lt;'Données projet'!$A$88,$BA$205^A72,IF(A72='Données projet'!$A$88,'Données projet'!$B$88,BD71+BC72-BL71)))</f>
        <v>293.79999999999995</v>
      </c>
      <c r="BE72" s="14">
        <f>BD72*VLOOKUP('Données projet'!$B$11,Paramètres!$A$1:$I$89,3,0)*VLOOKUP('Données projet'!$B$11,Paramètres!$A$1:$I$89,5,0)</f>
        <v>265.83023999999995</v>
      </c>
      <c r="BF72" s="14">
        <f t="shared" si="91"/>
        <v>63.963540982526439</v>
      </c>
      <c r="BG72" s="22">
        <f t="shared" si="61"/>
        <v>574.39083521123348</v>
      </c>
      <c r="BH72" s="60">
        <f t="shared" si="62"/>
        <v>867.72416854456674</v>
      </c>
      <c r="BI72" s="60">
        <f ca="1">AVERAGE(OFFSET($BH$3,0,0,'Données projet'!$E$11+1,1))-AVERAGE(OFFSET($H$3,0,0,'Données projet'!$E$11+1,1))</f>
        <v>529.25712986118265</v>
      </c>
      <c r="BJ72" s="60">
        <f t="shared" si="92"/>
        <v>278.21741231699929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>
        <f>EXP(-LN(2)/35)*BP71+(1-EXP(-LN(2)/35))/(LN(2)/35)*BL72*BM72*VLOOKUP('Données projet'!$B$11,Paramètres!$A$1:$I$89,3,0)*0.475*44/12</f>
        <v>0</v>
      </c>
      <c r="BQ72" s="23">
        <f>EXP(-LN(2)/25)*BQ71+(1-EXP(-LN(2)/25))/(LN(2)/25)*Calculateur!BL72*Calculateur!BN72*VLOOKUP('Données projet'!$B$11,Paramètres!$A$1:$I$89,3,0)*0.475*44/12</f>
        <v>0</v>
      </c>
      <c r="BR72" s="23">
        <f>EXP(-LN(2)/2)*BR71+(1-EXP(-LN(2)/2))/(LN(2)/2)*BL72*BO72*VLOOKUP('Données projet'!$B$11,Paramètres!$A$1:$I$89,3,0)*0.475*44/12</f>
        <v>0</v>
      </c>
      <c r="BS72" s="24">
        <f t="shared" si="63"/>
        <v>0</v>
      </c>
      <c r="BT72" s="77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8.1999999999999993</v>
      </c>
      <c r="BY72" s="13">
        <f>IF('Données projet'!$A$114&gt;35,BY71+BX72-CG71,IF(A72&lt;'Données projet'!$A$114,$BV$205^A72,IF(A72='Données projet'!$A$114,'Données projet'!$B$114,BY71+BX72-CG71)))</f>
        <v>293.79999999999995</v>
      </c>
      <c r="BZ72" s="14">
        <f>BY72*VLOOKUP('Données projet'!$B$12,Paramètres!$A$1:$I$89,3,0)*VLOOKUP('Données projet'!$B$12,Paramètres!$A$1:$I$89,5,0)</f>
        <v>297.91319999999996</v>
      </c>
      <c r="CA72" s="14">
        <f t="shared" si="93"/>
        <v>70.73881247427552</v>
      </c>
      <c r="CB72" s="22">
        <f t="shared" si="64"/>
        <v>642.06892172602977</v>
      </c>
      <c r="CC72" s="60">
        <f t="shared" si="65"/>
        <v>935.40225505936314</v>
      </c>
      <c r="CD72" s="60">
        <f ca="1">AVERAGE(OFFSET($CC$3,0,0,'Données projet'!$E$12+1,1))-AVERAGE(OFFSET($H$3,0,0,'Données projet'!$E$12+1,1))</f>
        <v>587.74247372331615</v>
      </c>
      <c r="CE72" s="60">
        <f t="shared" si="94"/>
        <v>306.61893266146666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>
        <f>EXP(-LN(2)/35)*CK71+(1-EXP(-LN(2)/35))/(LN(2)/35)*CG72*CH72*VLOOKUP('Données projet'!$B$12,Paramètres!$A$1:$I$89,3,0)*0.475*44/12</f>
        <v>0</v>
      </c>
      <c r="CL72" s="23">
        <f>EXP(-LN(2)/25)*CL71+(1-EXP(-LN(2)/25))/(LN(2)/25)*Calculateur!CG72*Calculateur!CI72*VLOOKUP('Données projet'!$B$12,Paramètres!$A$1:$I$89,3,0)*0.475*44/12</f>
        <v>0</v>
      </c>
      <c r="CM72" s="23">
        <f>EXP(-LN(2)/2)*CM71+(1-EXP(-LN(2)/2))/(LN(2)/2)*CG72*CJ72*VLOOKUP('Données projet'!$B$12,Paramètres!$A$1:$I$89,3,0)*0.475*44/12</f>
        <v>0</v>
      </c>
      <c r="CN72" s="24">
        <f t="shared" si="66"/>
        <v>0</v>
      </c>
      <c r="CO72" s="77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8.1999999999999993</v>
      </c>
      <c r="CT72" s="13">
        <f>IF('Données projet'!$A$140&gt;35,CT71+CS72-DB71,IF(A72&lt;'Données projet'!$A$140,$CQ$205^A72,IF(A72='Données projet'!$A$140,'Données projet'!$B$140,CT71+CS72-DB71)))</f>
        <v>293.79999999999995</v>
      </c>
      <c r="CU72" s="18">
        <f>CT72*VLOOKUP('Données projet'!$B$13,Paramètres!$A$1:$I$89,3,0)*VLOOKUP('Données projet'!$B$13,Paramètres!$A$1:$I$89,5,0)</f>
        <v>316.24631999999991</v>
      </c>
      <c r="CV72" s="14">
        <f t="shared" si="95"/>
        <v>74.57179198892409</v>
      </c>
      <c r="CW72" s="22">
        <f t="shared" si="67"/>
        <v>680.67487838070929</v>
      </c>
      <c r="CX72" s="60">
        <f t="shared" si="68"/>
        <v>974.00821171404255</v>
      </c>
      <c r="CY72" s="60">
        <f ca="1">AVERAGE(OFFSET($CX$3,0,0,'Données projet'!$E$13+1,1))-AVERAGE(OFFSET($H$3,0,0,'Données projet'!$E$13+1,1))</f>
        <v>621.10465023992288</v>
      </c>
      <c r="CZ72" s="60">
        <f t="shared" si="96"/>
        <v>322.81767004794284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>
        <f>EXP(-LN(2)/35)*DF71+(1-EXP(-LN(2)/35))/(LN(2)/35)*DB72*DC72*VLOOKUP('Données projet'!$B$13,Paramètres!$A$1:$I$89,3,0)*0.475*44/12</f>
        <v>0</v>
      </c>
      <c r="DG72" s="23">
        <f>EXP(-LN(2)/25)*DG71+(1-EXP(-LN(2)/25))/(LN(2)/25)*Calculateur!DB72*Calculateur!DD72*VLOOKUP('Données projet'!$B$13,Paramètres!$A$1:$I$89,3,0)*0.475*44/12</f>
        <v>0</v>
      </c>
      <c r="DH72" s="23">
        <f>EXP(-LN(2)/2)*DH71+(1-EXP(-LN(2)/2))/(LN(2)/2)*DB72*DE72*VLOOKUP('Données projet'!$B$13,Paramètres!$A$1:$I$89,3,0)*0.475*44/12</f>
        <v>0</v>
      </c>
      <c r="DI72" s="24">
        <f t="shared" si="69"/>
        <v>0</v>
      </c>
      <c r="DJ72" s="77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8.1999999999999993</v>
      </c>
      <c r="DO72" s="13">
        <f>IF('Données projet'!$A$166&gt;35,DO71+DN72-DW71,IF(A72&lt;'Données projet'!$A$166,$DL$205^A72,IF(A72='Données projet'!$A$166,'Données projet'!$B$166,DO71+DN72-DW71)))</f>
        <v>293.79999999999995</v>
      </c>
      <c r="DP72" s="18">
        <f>DO72*VLOOKUP('Données projet'!$B$14,Paramètres!$A$1:$I$89,3,0)*VLOOKUP('Données projet'!$B$14,Paramètres!$A$1:$I$89,5,0)</f>
        <v>284.16335999999995</v>
      </c>
      <c r="DQ72" s="14">
        <f t="shared" si="97"/>
        <v>67.846089314219739</v>
      </c>
      <c r="DR72" s="22">
        <f t="shared" si="70"/>
        <v>613.08312422226595</v>
      </c>
      <c r="DS72" s="60">
        <f t="shared" si="71"/>
        <v>906.41645755559921</v>
      </c>
      <c r="DT72" s="60">
        <f ca="1">AVERAGE(OFFSET($DS$3,0,0,'Données projet'!$E$14+1,1))-AVERAGE(OFFSET($H$3,0,0,'Données projet'!$E$14+1,1))</f>
        <v>562.69380557620775</v>
      </c>
      <c r="DU72" s="60">
        <f t="shared" si="98"/>
        <v>294.45557293177131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>
        <f>EXP(-LN(2)/35)*EA71+(1-EXP(-LN(2)/35))/(LN(2)/35)*DW72*DX72*VLOOKUP('Données projet'!$B$14,Paramètres!$A$1:$I$89,3,0)*0.475*44/12</f>
        <v>0</v>
      </c>
      <c r="EB72" s="23">
        <f>EXP(-LN(2)/25)*EB71+(1-EXP(-LN(2)/25))/(LN(2)/25)*Calculateur!DW72*Calculateur!DY72*VLOOKUP('Données projet'!$B$14,Paramètres!$A$1:$I$89,3,0)*0.475*44/12</f>
        <v>0</v>
      </c>
      <c r="EC72" s="23">
        <f>EXP(-LN(2)/2)*EC71+(1-EXP(-LN(2)/2))/(LN(2)/2)*DW72*DZ72*VLOOKUP('Données projet'!$B$14,Paramètres!$A$1:$I$89,3,0)*0.475*44/12</f>
        <v>0</v>
      </c>
      <c r="ED72" s="24">
        <f t="shared" si="72"/>
        <v>0</v>
      </c>
      <c r="EE72" s="77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>
        <f>VLOOKUP(A72,'Données projet'!$A$191:$I$211,2,0)</f>
        <v>328</v>
      </c>
      <c r="EH72" s="13">
        <f>VLOOKUP(A72,'Données projet'!$A$191:$I$211,9,0)</f>
        <v>8.6666666666666661</v>
      </c>
      <c r="EI72" s="13">
        <f t="array" ref="EI72">INDEX(EH:EH,MIN(IF(ISNUMBER(EH72:EH268),ROW(EH72:EH268),"")))</f>
        <v>8.6666666666666661</v>
      </c>
      <c r="EJ72" s="13">
        <f>IF('Données projet'!$A$192&gt;35,EJ71+EI72-ER71,IF(A72&lt;'Données projet'!$A$192,$EG$205^A72,IF(A72='Données projet'!$A$192,'Données projet'!$B$192,EJ71+EI72-ER71)))</f>
        <v>328.00000000000011</v>
      </c>
      <c r="EK72" s="18">
        <f>EJ72*VLOOKUP('Données projet'!$B$15,Paramètres!$A$1:$I$89,3,0)*VLOOKUP('Données projet'!$B$15,Paramètres!$A$1:$I$89,5,0)</f>
        <v>255.84000000000009</v>
      </c>
      <c r="EL72" s="14">
        <f t="shared" si="99"/>
        <v>61.834803371075836</v>
      </c>
      <c r="EM72" s="22">
        <f t="shared" si="73"/>
        <v>553.28361587129064</v>
      </c>
      <c r="EN72" s="60">
        <f t="shared" si="74"/>
        <v>846.61694920462401</v>
      </c>
      <c r="EO72" s="60">
        <f ca="1">AVERAGE(OFFSET($EN$3,0,0,'Données projet'!$E$15+1,1))-AVERAGE(OFFSET($H$3,0,0,'Données projet'!$E$15+1,1))</f>
        <v>292.57482726862594</v>
      </c>
      <c r="EP72" s="60">
        <f t="shared" si="100"/>
        <v>283.48738729114024</v>
      </c>
      <c r="EQ72" s="16">
        <f>IF(ISNA(VLOOKUP(A72,'Données projet'!$A$191:$I$211,3,0)),0,VLOOKUP(A72,'Données projet'!$A$191:$I$211,3,0))</f>
        <v>7</v>
      </c>
      <c r="ER72" s="16">
        <f>IF(ISNA(VLOOKUP(A72,'Données projet'!$A$191:$I$211,4,0)),0,VLOOKUP(A72,'Données projet'!$A$191:$I$211,4,0))</f>
        <v>328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>
        <f>EXP(-LN(2)/35)*EV71+(1-EXP(-LN(2)/35))/(LN(2)/35)*ER72*ES72*VLOOKUP('Données projet'!$B$15,Paramètres!$A$1:$I$89,3,0)*0.475*44/12</f>
        <v>0</v>
      </c>
      <c r="EW72" s="23">
        <f>EXP(-LN(2)/25)*EW71+(1-EXP(-LN(2)/25))/(LN(2)/25)*Calculateur!ER72*Calculateur!ET72*VLOOKUP('Données projet'!$B$15,Paramètres!$A$1:$I$89,3,0)*0.475*44/12</f>
        <v>0</v>
      </c>
      <c r="EX72" s="23">
        <f>EXP(-LN(2)/2)*EX71+(1-EXP(-LN(2)/2))/(LN(2)/2)*ER72*EU72*VLOOKUP('Données projet'!$B$15,Paramètres!$A$1:$I$89,3,0)*0.475*44/12</f>
        <v>0</v>
      </c>
      <c r="EY72" s="24">
        <f t="shared" si="75"/>
        <v>0</v>
      </c>
      <c r="EZ72" s="77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0" t="e">
        <f t="shared" si="77"/>
        <v>#N/A</v>
      </c>
      <c r="FJ72" s="60" t="e">
        <f ca="1">AVERAGE(OFFSET($FI$3,0,0,'Données projet'!$E$16+1,1))-AVERAGE(OFFSET($H$3,0,0,'Données projet'!$E$16+1,1))</f>
        <v>#N/A</v>
      </c>
      <c r="FK72" s="60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77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0" t="e">
        <f t="shared" si="80"/>
        <v>#N/A</v>
      </c>
      <c r="GE72" s="60" t="e">
        <f ca="1">AVERAGE(OFFSET($GD$3,0,0,'Données projet'!$E$17+1,1))-AVERAGE(OFFSET($H$3,0,0,'Données projet'!$E$17+1,1))</f>
        <v>#N/A</v>
      </c>
      <c r="GF72" s="60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77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0" t="e">
        <f t="shared" si="83"/>
        <v>#N/A</v>
      </c>
      <c r="GZ72" s="60" t="e">
        <f ca="1">AVERAGE(OFFSET($GY$3,0,0,'Données projet'!$E$18+1,1))-AVERAGE(OFFSET($H$3,0,0,'Données projet'!$E$18+1,1))</f>
        <v>#N/A</v>
      </c>
      <c r="HA72" s="60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25">
      <c r="A73" s="11">
        <f t="shared" si="85"/>
        <v>70</v>
      </c>
      <c r="B73" s="74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2">
        <f t="shared" si="86"/>
        <v>0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0</v>
      </c>
      <c r="H73" s="67">
        <f t="shared" si="56"/>
        <v>256.66666666666669</v>
      </c>
      <c r="I73" s="7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>
        <f>VLOOKUP(A73,'Données projet'!$A$35:$I$55,2,0)</f>
        <v>239.74358974358972</v>
      </c>
      <c r="L73" s="13">
        <f>VLOOKUP(A73,'Données projet'!$A$35:$I$55,9,0)</f>
        <v>4.7435897435897401</v>
      </c>
      <c r="M73" s="13">
        <f t="array" ref="M73">INDEX(L:L,MIN(IF(ISNUMBER(L73:L269),ROW(L73:L269),"")))</f>
        <v>4.7435897435897401</v>
      </c>
      <c r="N73" s="14">
        <f>IF('Données projet'!$A$36&gt;35,N72+M73-V72,IF(A73&lt;'Données projet'!$A$36,$K$205^A73,IF(A73='Données projet'!$A$36,'Données projet'!$B$36,N72+M73-V72)))</f>
        <v>239.74358974358969</v>
      </c>
      <c r="O73" s="14">
        <f>N73*VLOOKUP('Données projet'!$B$9,Paramètres!$A$1:$I$89,3,0)*VLOOKUP('Données projet'!$B$9,Paramètres!$A$1:$I$89,5,0)</f>
        <v>228.14</v>
      </c>
      <c r="P73" s="14">
        <f t="shared" si="87"/>
        <v>55.880316183970429</v>
      </c>
      <c r="Q73" s="22">
        <f t="shared" si="54"/>
        <v>494.66871735374849</v>
      </c>
      <c r="R73" s="60">
        <f t="shared" si="55"/>
        <v>788.00205068708181</v>
      </c>
      <c r="S73" s="60">
        <f ca="1">AVERAGE(OFFSET($R$3,0,0,'Données projet'!$E$9+1,1))-AVERAGE(OFFSET($H$3,0,0,'Données projet'!$E$9+1,1))</f>
        <v>403.49781966317852</v>
      </c>
      <c r="T73" s="60">
        <f t="shared" si="88"/>
        <v>326.06674572505409</v>
      </c>
      <c r="U73" s="16">
        <f>IF(ISNA(VLOOKUP(A73,'Données projet'!$A$35:$I$55,3,0)),0,VLOOKUP(A73,'Données projet'!$A$35:$I$55,3,0))</f>
        <v>6</v>
      </c>
      <c r="V73" s="16">
        <f>IF(ISNA(VLOOKUP(A73,'Données projet'!$A$35:$I$55,4,0)),0,VLOOKUP(A73,'Données projet'!$A$35:$I$55,4,0))</f>
        <v>31.410256410256409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0</v>
      </c>
      <c r="AA73" s="23">
        <f>EXP(-LN(2)/25)*AA72+(1-EXP(-LN(2)/25))/(LN(2)/25)*Calculateur!V73*Calculateur!X73*VLOOKUP('Données projet'!$B$9,Paramètres!$A$1:$I$89,3,0)*0.475*44/12</f>
        <v>0</v>
      </c>
      <c r="AB73" s="23">
        <f>EXP(-LN(2)/2)*AB72+(1-EXP(-LN(2)/2))/(LN(2)/2)*V73*Y73*VLOOKUP('Données projet'!$B$9,Paramètres!$A$1:$I$89,3,0)*0.475*44/12</f>
        <v>0</v>
      </c>
      <c r="AC73" s="24">
        <f t="shared" si="57"/>
        <v>0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>
        <f>VLOOKUP(A73,'Données projet'!$A$61:$I$81,2,0)</f>
        <v>209</v>
      </c>
      <c r="AG73" s="13">
        <f>VLOOKUP(A73,'Données projet'!$A$61:$I$81,9,0)</f>
        <v>3</v>
      </c>
      <c r="AH73" s="13">
        <f t="array" ref="AH73">INDEX(AG:AG,MIN(IF(ISNUMBER(AG73:AG269),ROW(AG73:AG269),"")))</f>
        <v>3</v>
      </c>
      <c r="AI73" s="14">
        <f>IF('Données projet'!$A$62&gt;35,AI72+AH73-AQ72,IF(A73&lt;'Données projet'!$A$62,$AF$205^A73,IF(A73='Données projet'!$A$62,'Données projet'!$B$62,AI72+AH73-AQ72)))</f>
        <v>208.99999999999989</v>
      </c>
      <c r="AJ73" s="14">
        <f>AI73*VLOOKUP('Données projet'!$B$10,Paramètres!$A$1:$I$89,3,0)*VLOOKUP('Données projet'!$B$10,Paramètres!$A$1:$I$89,5,0)</f>
        <v>182.58239999999992</v>
      </c>
      <c r="AK73" s="14">
        <f t="shared" si="89"/>
        <v>45.896245406460245</v>
      </c>
      <c r="AL73" s="22">
        <f t="shared" si="58"/>
        <v>397.93364074958481</v>
      </c>
      <c r="AM73" s="60">
        <f t="shared" si="59"/>
        <v>691.26697408291807</v>
      </c>
      <c r="AN73" s="60">
        <f ca="1">AVERAGE(OFFSET($AM$3,0,0,'Données projet'!$E$10+1,1))-AVERAGE(OFFSET($H$3,0,0,'Données projet'!$E$10+1,1))</f>
        <v>274.66236526869056</v>
      </c>
      <c r="AO73" s="60">
        <f t="shared" si="90"/>
        <v>256.90876395053073</v>
      </c>
      <c r="AP73" s="16">
        <f>IF(ISNA(VLOOKUP(A73,'Données projet'!$A$61:$I$81,3,0)),0,VLOOKUP(A73,'Données projet'!$A$61:$I$81,3,0))</f>
        <v>0</v>
      </c>
      <c r="AQ73" s="16">
        <f>IF(ISNA(VLOOKUP(A73,'Données projet'!$A$61:$I$81,4,0)),0,VLOOKUP(A73,'Données projet'!$A$61:$I$81,4,0))</f>
        <v>0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>
        <f>EXP(-LN(2)/35)*AU72+(1-EXP(-LN(2)/35))/(LN(2)/35)*AQ73*AR73*VLOOKUP('Données projet'!$B$10,Paramètres!$A$1:$I$89,3,0)*0.475*44/12</f>
        <v>0</v>
      </c>
      <c r="AV73" s="23">
        <f>EXP(-LN(2)/25)*AV72+(1-EXP(-LN(2)/25))/(LN(2)/25)*Calculateur!AQ73*Calculateur!AS73*VLOOKUP('Données projet'!$B$10,Paramètres!$A$1:$I$89,3,0)*0.475*44/12</f>
        <v>0</v>
      </c>
      <c r="AW73" s="23">
        <f>EXP(-LN(2)/2)*AW72+(1-EXP(-LN(2)/2))/(LN(2)/2)*AQ73*AT73*VLOOKUP('Données projet'!$B$10,Paramètres!$A$1:$I$89,3,0)*0.475*44/12</f>
        <v>0</v>
      </c>
      <c r="AX73" s="23">
        <f t="shared" si="60"/>
        <v>0</v>
      </c>
      <c r="AY73" s="76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>
        <f>VLOOKUP(A73,'Données projet'!$A$87:$I$107,2,0)</f>
        <v>302</v>
      </c>
      <c r="BB73" s="13">
        <f>VLOOKUP(A73,'Données projet'!$A$87:$I$107,9,0)</f>
        <v>8.1999999999999993</v>
      </c>
      <c r="BC73" s="13">
        <f t="array" ref="BC73">INDEX(BB:BB,MIN(IF(ISNUMBER(BB73:BB269),ROW(BB73:BB269),"")))</f>
        <v>8.1999999999999993</v>
      </c>
      <c r="BD73" s="13">
        <f>IF('Données projet'!$A$88&gt;35,BD72+BC73-BL72,IF(A73&lt;'Données projet'!$A$88,$BA$205^A73,IF(A73='Données projet'!$A$88,'Données projet'!$B$88,BD72+BC73-BL72)))</f>
        <v>301.99999999999994</v>
      </c>
      <c r="BE73" s="14">
        <f>BD73*VLOOKUP('Données projet'!$B$11,Paramètres!$A$1:$I$89,3,0)*VLOOKUP('Données projet'!$B$11,Paramètres!$A$1:$I$89,5,0)</f>
        <v>273.24959999999999</v>
      </c>
      <c r="BF73" s="14">
        <f t="shared" si="91"/>
        <v>65.538435495514321</v>
      </c>
      <c r="BG73" s="22">
        <f t="shared" si="61"/>
        <v>590.05582848802067</v>
      </c>
      <c r="BH73" s="60">
        <f t="shared" si="62"/>
        <v>883.38916182135404</v>
      </c>
      <c r="BI73" s="60">
        <f ca="1">AVERAGE(OFFSET($BH$3,0,0,'Données projet'!$E$11+1,1))-AVERAGE(OFFSET($H$3,0,0,'Données projet'!$E$11+1,1))</f>
        <v>529.25712986118265</v>
      </c>
      <c r="BJ73" s="60">
        <f t="shared" si="92"/>
        <v>278.21741231699929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>
        <f>EXP(-LN(2)/35)*BP72+(1-EXP(-LN(2)/35))/(LN(2)/35)*BL73*BM73*VLOOKUP('Données projet'!$B$11,Paramètres!$A$1:$I$89,3,0)*0.475*44/12</f>
        <v>0</v>
      </c>
      <c r="BQ73" s="23">
        <f>EXP(-LN(2)/25)*BQ72+(1-EXP(-LN(2)/25))/(LN(2)/25)*Calculateur!BL73*Calculateur!BN73*VLOOKUP('Données projet'!$B$11,Paramètres!$A$1:$I$89,3,0)*0.475*44/12</f>
        <v>0</v>
      </c>
      <c r="BR73" s="23">
        <f>EXP(-LN(2)/2)*BR72+(1-EXP(-LN(2)/2))/(LN(2)/2)*BL73*BO73*VLOOKUP('Données projet'!$B$11,Paramètres!$A$1:$I$89,3,0)*0.475*44/12</f>
        <v>0</v>
      </c>
      <c r="BS73" s="24">
        <f t="shared" si="63"/>
        <v>0</v>
      </c>
      <c r="BT73" s="77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>
        <f>VLOOKUP(A73,'Données projet'!$A$113:$I$133,2,0)</f>
        <v>302</v>
      </c>
      <c r="BW73" s="13">
        <f>VLOOKUP(A73,'Données projet'!$A$113:$I$133,9,0)</f>
        <v>8.1999999999999993</v>
      </c>
      <c r="BX73" s="13">
        <f t="array" ref="BX73">INDEX(BW:BW,MIN(IF(ISNUMBER(BW73:BW269),ROW(BW73:BW269),"")))</f>
        <v>8.1999999999999993</v>
      </c>
      <c r="BY73" s="13">
        <f>IF('Données projet'!$A$114&gt;35,BY72+BX73-CG72,IF(A73&lt;'Données projet'!$A$114,$BV$205^A73,IF(A73='Données projet'!$A$114,'Données projet'!$B$114,BY72+BX73-CG72)))</f>
        <v>301.99999999999994</v>
      </c>
      <c r="BZ73" s="14">
        <f>BY73*VLOOKUP('Données projet'!$B$12,Paramètres!$A$1:$I$89,3,0)*VLOOKUP('Données projet'!$B$12,Paramètres!$A$1:$I$89,5,0)</f>
        <v>306.22800000000001</v>
      </c>
      <c r="CA73" s="14">
        <f t="shared" si="93"/>
        <v>72.480526049067294</v>
      </c>
      <c r="CB73" s="22">
        <f t="shared" si="64"/>
        <v>659.58401620212555</v>
      </c>
      <c r="CC73" s="60">
        <f t="shared" si="65"/>
        <v>952.91734953545892</v>
      </c>
      <c r="CD73" s="60">
        <f ca="1">AVERAGE(OFFSET($CC$3,0,0,'Données projet'!$E$12+1,1))-AVERAGE(OFFSET($H$3,0,0,'Données projet'!$E$12+1,1))</f>
        <v>587.74247372331615</v>
      </c>
      <c r="CE73" s="60">
        <f t="shared" si="94"/>
        <v>306.61893266146666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>
        <f>EXP(-LN(2)/35)*CK72+(1-EXP(-LN(2)/35))/(LN(2)/35)*CG73*CH73*VLOOKUP('Données projet'!$B$12,Paramètres!$A$1:$I$89,3,0)*0.475*44/12</f>
        <v>0</v>
      </c>
      <c r="CL73" s="23">
        <f>EXP(-LN(2)/25)*CL72+(1-EXP(-LN(2)/25))/(LN(2)/25)*Calculateur!CG73*Calculateur!CI73*VLOOKUP('Données projet'!$B$12,Paramètres!$A$1:$I$89,3,0)*0.475*44/12</f>
        <v>0</v>
      </c>
      <c r="CM73" s="23">
        <f>EXP(-LN(2)/2)*CM72+(1-EXP(-LN(2)/2))/(LN(2)/2)*CG73*CJ73*VLOOKUP('Données projet'!$B$12,Paramètres!$A$1:$I$89,3,0)*0.475*44/12</f>
        <v>0</v>
      </c>
      <c r="CN73" s="24">
        <f t="shared" si="66"/>
        <v>0</v>
      </c>
      <c r="CO73" s="77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>
        <f>VLOOKUP(A73,'Données projet'!$A$139:$I$159,2,0)</f>
        <v>302</v>
      </c>
      <c r="CR73" s="13">
        <f>VLOOKUP(A73,'Données projet'!$A$139:$I$159,9,0)</f>
        <v>8.1999999999999993</v>
      </c>
      <c r="CS73" s="13">
        <f t="array" ref="CS73">INDEX(CR:CR,MIN(IF(ISNUMBER(CR73:CR269),ROW(CR73:CR269),"")))</f>
        <v>8.1999999999999993</v>
      </c>
      <c r="CT73" s="13">
        <f>IF('Données projet'!$A$140&gt;35,CT72+CS73-DB72,IF(A73&lt;'Données projet'!$A$140,$CQ$205^A73,IF(A73='Données projet'!$A$140,'Données projet'!$B$140,CT72+CS73-DB72)))</f>
        <v>301.99999999999994</v>
      </c>
      <c r="CU73" s="18">
        <f>CT73*VLOOKUP('Données projet'!$B$13,Paramètres!$A$1:$I$89,3,0)*VLOOKUP('Données projet'!$B$13,Paramètres!$A$1:$I$89,5,0)</f>
        <v>325.07279999999992</v>
      </c>
      <c r="CV73" s="14">
        <f t="shared" si="95"/>
        <v>76.407880238933714</v>
      </c>
      <c r="CW73" s="22">
        <f t="shared" si="67"/>
        <v>699.24551808280933</v>
      </c>
      <c r="CX73" s="60">
        <f t="shared" si="68"/>
        <v>992.5788514161427</v>
      </c>
      <c r="CY73" s="60">
        <f ca="1">AVERAGE(OFFSET($CX$3,0,0,'Données projet'!$E$13+1,1))-AVERAGE(OFFSET($H$3,0,0,'Données projet'!$E$13+1,1))</f>
        <v>621.10465023992288</v>
      </c>
      <c r="CZ73" s="60">
        <f t="shared" si="96"/>
        <v>322.81767004794284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>
        <f>EXP(-LN(2)/35)*DF72+(1-EXP(-LN(2)/35))/(LN(2)/35)*DB73*DC73*VLOOKUP('Données projet'!$B$13,Paramètres!$A$1:$I$89,3,0)*0.475*44/12</f>
        <v>0</v>
      </c>
      <c r="DG73" s="23">
        <f>EXP(-LN(2)/25)*DG72+(1-EXP(-LN(2)/25))/(LN(2)/25)*Calculateur!DB73*Calculateur!DD73*VLOOKUP('Données projet'!$B$13,Paramètres!$A$1:$I$89,3,0)*0.475*44/12</f>
        <v>0</v>
      </c>
      <c r="DH73" s="23">
        <f>EXP(-LN(2)/2)*DH72+(1-EXP(-LN(2)/2))/(LN(2)/2)*DB73*DE73*VLOOKUP('Données projet'!$B$13,Paramètres!$A$1:$I$89,3,0)*0.475*44/12</f>
        <v>0</v>
      </c>
      <c r="DI73" s="24">
        <f t="shared" si="69"/>
        <v>0</v>
      </c>
      <c r="DJ73" s="77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>
        <f>VLOOKUP(A73,'Données projet'!$A$165:$I$185,2,0)</f>
        <v>302</v>
      </c>
      <c r="DM73" s="13">
        <f>VLOOKUP(A73,'Données projet'!$A$165:$I$185,9,0)</f>
        <v>8.1999999999999993</v>
      </c>
      <c r="DN73" s="13">
        <f t="array" ref="DN73">INDEX(DM:DM,MIN(IF(ISNUMBER(DM73:DM269),ROW(DM73:DM269),"")))</f>
        <v>8.1999999999999993</v>
      </c>
      <c r="DO73" s="13">
        <f>IF('Données projet'!$A$166&gt;35,DO72+DN73-DW72,IF(A73&lt;'Données projet'!$A$166,$DL$205^A73,IF(A73='Données projet'!$A$166,'Données projet'!$B$166,DO72+DN73-DW72)))</f>
        <v>301.99999999999994</v>
      </c>
      <c r="DP73" s="18">
        <f>DO73*VLOOKUP('Données projet'!$B$14,Paramètres!$A$1:$I$89,3,0)*VLOOKUP('Données projet'!$B$14,Paramètres!$A$1:$I$89,5,0)</f>
        <v>292.09439999999995</v>
      </c>
      <c r="DQ73" s="14">
        <f t="shared" si="97"/>
        <v>69.516578973599849</v>
      </c>
      <c r="DR73" s="22">
        <f t="shared" si="70"/>
        <v>629.80578837901965</v>
      </c>
      <c r="DS73" s="60">
        <f t="shared" si="71"/>
        <v>923.13912171235302</v>
      </c>
      <c r="DT73" s="60">
        <f ca="1">AVERAGE(OFFSET($DS$3,0,0,'Données projet'!$E$14+1,1))-AVERAGE(OFFSET($H$3,0,0,'Données projet'!$E$14+1,1))</f>
        <v>562.69380557620775</v>
      </c>
      <c r="DU73" s="60">
        <f t="shared" si="98"/>
        <v>294.45557293177131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>
        <f>EXP(-LN(2)/35)*EA72+(1-EXP(-LN(2)/35))/(LN(2)/35)*DW73*DX73*VLOOKUP('Données projet'!$B$14,Paramètres!$A$1:$I$89,3,0)*0.475*44/12</f>
        <v>0</v>
      </c>
      <c r="EB73" s="23">
        <f>EXP(-LN(2)/25)*EB72+(1-EXP(-LN(2)/25))/(LN(2)/25)*Calculateur!DW73*Calculateur!DY73*VLOOKUP('Données projet'!$B$14,Paramètres!$A$1:$I$89,3,0)*0.475*44/12</f>
        <v>0</v>
      </c>
      <c r="EC73" s="23">
        <f>EXP(-LN(2)/2)*EC72+(1-EXP(-LN(2)/2))/(LN(2)/2)*DW73*DZ73*VLOOKUP('Données projet'!$B$14,Paramètres!$A$1:$I$89,3,0)*0.475*44/12</f>
        <v>0</v>
      </c>
      <c r="ED73" s="24">
        <f t="shared" si="72"/>
        <v>0</v>
      </c>
      <c r="EE73" s="77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1.1368683772161603E-13</v>
      </c>
      <c r="EK73" s="18">
        <f>EJ73*VLOOKUP('Données projet'!$B$15,Paramètres!$A$1:$I$89,3,0)*VLOOKUP('Données projet'!$B$15,Paramètres!$A$1:$I$89,5,0)</f>
        <v>8.8675733422860506E-14</v>
      </c>
      <c r="EL73" s="14">
        <f t="shared" si="99"/>
        <v>1.3509285393066301E-12</v>
      </c>
      <c r="EM73" s="22">
        <f t="shared" si="73"/>
        <v>2.5073107750038623E-12</v>
      </c>
      <c r="EN73" s="60">
        <f t="shared" si="74"/>
        <v>293.33333333333582</v>
      </c>
      <c r="EO73" s="60">
        <f ca="1">AVERAGE(OFFSET($EN$3,0,0,'Données projet'!$E$15+1,1))-AVERAGE(OFFSET($H$3,0,0,'Données projet'!$E$15+1,1))</f>
        <v>292.57482726862594</v>
      </c>
      <c r="EP73" s="60">
        <f t="shared" si="100"/>
        <v>283.48738729114024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>
        <f>EXP(-LN(2)/35)*EV72+(1-EXP(-LN(2)/35))/(LN(2)/35)*ER73*ES73*VLOOKUP('Données projet'!$B$15,Paramètres!$A$1:$I$89,3,0)*0.475*44/12</f>
        <v>0</v>
      </c>
      <c r="EW73" s="23">
        <f>EXP(-LN(2)/25)*EW72+(1-EXP(-LN(2)/25))/(LN(2)/25)*Calculateur!ER73*Calculateur!ET73*VLOOKUP('Données projet'!$B$15,Paramètres!$A$1:$I$89,3,0)*0.475*44/12</f>
        <v>0</v>
      </c>
      <c r="EX73" s="23">
        <f>EXP(-LN(2)/2)*EX72+(1-EXP(-LN(2)/2))/(LN(2)/2)*ER73*EU73*VLOOKUP('Données projet'!$B$15,Paramètres!$A$1:$I$89,3,0)*0.475*44/12</f>
        <v>0</v>
      </c>
      <c r="EY73" s="24">
        <f t="shared" si="75"/>
        <v>0</v>
      </c>
      <c r="EZ73" s="77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0" t="e">
        <f t="shared" si="77"/>
        <v>#N/A</v>
      </c>
      <c r="FJ73" s="60" t="e">
        <f ca="1">AVERAGE(OFFSET($FI$3,0,0,'Données projet'!$E$16+1,1))-AVERAGE(OFFSET($H$3,0,0,'Données projet'!$E$16+1,1))</f>
        <v>#N/A</v>
      </c>
      <c r="FK73" s="60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77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0" t="e">
        <f t="shared" si="80"/>
        <v>#N/A</v>
      </c>
      <c r="GE73" s="60" t="e">
        <f ca="1">AVERAGE(OFFSET($GD$3,0,0,'Données projet'!$E$17+1,1))-AVERAGE(OFFSET($H$3,0,0,'Données projet'!$E$17+1,1))</f>
        <v>#N/A</v>
      </c>
      <c r="GF73" s="60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77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0" t="e">
        <f t="shared" si="83"/>
        <v>#N/A</v>
      </c>
      <c r="GZ73" s="60" t="e">
        <f ca="1">AVERAGE(OFFSET($GY$3,0,0,'Données projet'!$E$18+1,1))-AVERAGE(OFFSET($H$3,0,0,'Données projet'!$E$18+1,1))</f>
        <v>#N/A</v>
      </c>
      <c r="HA73" s="60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25">
      <c r="A74" s="11">
        <f t="shared" si="85"/>
        <v>71</v>
      </c>
      <c r="B74" s="74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2">
        <f t="shared" si="86"/>
        <v>0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0</v>
      </c>
      <c r="H74" s="67">
        <f t="shared" si="56"/>
        <v>256.66666666666669</v>
      </c>
      <c r="I74" s="7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4.4871794871794917</v>
      </c>
      <c r="N74" s="14">
        <f>IF('Données projet'!$A$36&gt;35,N73+M74-V73,IF(A74&lt;'Données projet'!$A$36,$K$205^A74,IF(A74='Données projet'!$A$36,'Données projet'!$B$36,N73+M74-V73)))</f>
        <v>212.82051282051279</v>
      </c>
      <c r="O74" s="14">
        <f>N74*VLOOKUP('Données projet'!$B$9,Paramètres!$A$1:$I$89,3,0)*VLOOKUP('Données projet'!$B$9,Paramètres!$A$1:$I$89,5,0)</f>
        <v>202.51999999999995</v>
      </c>
      <c r="P74" s="14">
        <f t="shared" si="87"/>
        <v>50.297583217172736</v>
      </c>
      <c r="Q74" s="22">
        <f t="shared" si="54"/>
        <v>440.32395743657571</v>
      </c>
      <c r="R74" s="60">
        <f t="shared" si="55"/>
        <v>733.65729076990897</v>
      </c>
      <c r="S74" s="60">
        <f ca="1">AVERAGE(OFFSET($R$3,0,0,'Données projet'!$E$9+1,1))-AVERAGE(OFFSET($H$3,0,0,'Données projet'!$E$9+1,1))</f>
        <v>403.49781966317852</v>
      </c>
      <c r="T74" s="60">
        <f t="shared" si="88"/>
        <v>326.06674572505409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0</v>
      </c>
      <c r="AA74" s="23">
        <f>EXP(-LN(2)/25)*AA73+(1-EXP(-LN(2)/25))/(LN(2)/25)*Calculateur!V74*Calculateur!X74*VLOOKUP('Données projet'!$B$9,Paramètres!$A$1:$I$89,3,0)*0.475*44/12</f>
        <v>0</v>
      </c>
      <c r="AB74" s="23">
        <f>EXP(-LN(2)/2)*AB73+(1-EXP(-LN(2)/2))/(LN(2)/2)*V74*Y74*VLOOKUP('Données projet'!$B$9,Paramètres!$A$1:$I$89,3,0)*0.475*44/12</f>
        <v>0</v>
      </c>
      <c r="AC74" s="24">
        <f t="shared" si="57"/>
        <v>0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2.6</v>
      </c>
      <c r="AI74" s="14">
        <f>IF('Données projet'!$A$62&gt;35,AI73+AH74-AQ73,IF(A74&lt;'Données projet'!$A$62,$AF$205^A74,IF(A74='Données projet'!$A$62,'Données projet'!$B$62,AI73+AH74-AQ73)))</f>
        <v>211.59999999999988</v>
      </c>
      <c r="AJ74" s="14">
        <f>AI74*VLOOKUP('Données projet'!$B$10,Paramètres!$A$1:$I$89,3,0)*VLOOKUP('Données projet'!$B$10,Paramètres!$A$1:$I$89,5,0)</f>
        <v>184.85375999999991</v>
      </c>
      <c r="AK74" s="14">
        <f t="shared" si="89"/>
        <v>46.400380376458166</v>
      </c>
      <c r="AL74" s="22">
        <f t="shared" si="58"/>
        <v>402.76762782233112</v>
      </c>
      <c r="AM74" s="60">
        <f t="shared" si="59"/>
        <v>696.10096115566444</v>
      </c>
      <c r="AN74" s="60">
        <f ca="1">AVERAGE(OFFSET($AM$3,0,0,'Données projet'!$E$10+1,1))-AVERAGE(OFFSET($H$3,0,0,'Données projet'!$E$10+1,1))</f>
        <v>274.66236526869056</v>
      </c>
      <c r="AO74" s="60">
        <f t="shared" si="90"/>
        <v>256.90876395053073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>
        <f>EXP(-LN(2)/35)*AU73+(1-EXP(-LN(2)/35))/(LN(2)/35)*AQ74*AR74*VLOOKUP('Données projet'!$B$10,Paramètres!$A$1:$I$89,3,0)*0.475*44/12</f>
        <v>0</v>
      </c>
      <c r="AV74" s="23">
        <f>EXP(-LN(2)/25)*AV73+(1-EXP(-LN(2)/25))/(LN(2)/25)*Calculateur!AQ74*Calculateur!AS74*VLOOKUP('Données projet'!$B$10,Paramètres!$A$1:$I$89,3,0)*0.475*44/12</f>
        <v>0</v>
      </c>
      <c r="AW74" s="23">
        <f>EXP(-LN(2)/2)*AW73+(1-EXP(-LN(2)/2))/(LN(2)/2)*AQ74*AT74*VLOOKUP('Données projet'!$B$10,Paramètres!$A$1:$I$89,3,0)*0.475*44/12</f>
        <v>0</v>
      </c>
      <c r="AX74" s="23">
        <f t="shared" si="60"/>
        <v>0</v>
      </c>
      <c r="AY74" s="76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7.6</v>
      </c>
      <c r="BD74" s="13">
        <f>IF('Données projet'!$A$88&gt;35,BD73+BC74-BL73,IF(A74&lt;'Données projet'!$A$88,$BA$205^A74,IF(A74='Données projet'!$A$88,'Données projet'!$B$88,BD73+BC74-BL73)))</f>
        <v>309.59999999999997</v>
      </c>
      <c r="BE74" s="14">
        <f>BD74*VLOOKUP('Données projet'!$B$11,Paramètres!$A$1:$I$89,3,0)*VLOOKUP('Données projet'!$B$11,Paramètres!$A$1:$I$89,5,0)</f>
        <v>280.12607999999994</v>
      </c>
      <c r="BF74" s="14">
        <f t="shared" si="91"/>
        <v>66.993652511337999</v>
      </c>
      <c r="BG74" s="22">
        <f t="shared" si="61"/>
        <v>604.56686745724687</v>
      </c>
      <c r="BH74" s="60">
        <f t="shared" si="62"/>
        <v>897.90020079058013</v>
      </c>
      <c r="BI74" s="60">
        <f ca="1">AVERAGE(OFFSET($BH$3,0,0,'Données projet'!$E$11+1,1))-AVERAGE(OFFSET($H$3,0,0,'Données projet'!$E$11+1,1))</f>
        <v>529.25712986118265</v>
      </c>
      <c r="BJ74" s="60">
        <f t="shared" si="92"/>
        <v>278.21741231699929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>
        <f>EXP(-LN(2)/35)*BP73+(1-EXP(-LN(2)/35))/(LN(2)/35)*BL74*BM74*VLOOKUP('Données projet'!$B$11,Paramètres!$A$1:$I$89,3,0)*0.475*44/12</f>
        <v>0</v>
      </c>
      <c r="BQ74" s="23">
        <f>EXP(-LN(2)/25)*BQ73+(1-EXP(-LN(2)/25))/(LN(2)/25)*Calculateur!BL74*Calculateur!BN74*VLOOKUP('Données projet'!$B$11,Paramètres!$A$1:$I$89,3,0)*0.475*44/12</f>
        <v>0</v>
      </c>
      <c r="BR74" s="23">
        <f>EXP(-LN(2)/2)*BR73+(1-EXP(-LN(2)/2))/(LN(2)/2)*BL74*BO74*VLOOKUP('Données projet'!$B$11,Paramètres!$A$1:$I$89,3,0)*0.475*44/12</f>
        <v>0</v>
      </c>
      <c r="BS74" s="24">
        <f t="shared" si="63"/>
        <v>0</v>
      </c>
      <c r="BT74" s="77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7.6</v>
      </c>
      <c r="BY74" s="13">
        <f>IF('Données projet'!$A$114&gt;35,BY73+BX74-CG73,IF(A74&lt;'Données projet'!$A$114,$BV$205^A74,IF(A74='Données projet'!$A$114,'Données projet'!$B$114,BY73+BX74-CG73)))</f>
        <v>309.59999999999997</v>
      </c>
      <c r="BZ74" s="14">
        <f>BY74*VLOOKUP('Données projet'!$B$12,Paramètres!$A$1:$I$89,3,0)*VLOOKUP('Données projet'!$B$12,Paramètres!$A$1:$I$89,5,0)</f>
        <v>313.93439999999998</v>
      </c>
      <c r="CA74" s="14">
        <f t="shared" si="93"/>
        <v>74.089885412393457</v>
      </c>
      <c r="CB74" s="22">
        <f t="shared" si="64"/>
        <v>675.80896375991858</v>
      </c>
      <c r="CC74" s="60">
        <f t="shared" si="65"/>
        <v>969.14229709325195</v>
      </c>
      <c r="CD74" s="60">
        <f ca="1">AVERAGE(OFFSET($CC$3,0,0,'Données projet'!$E$12+1,1))-AVERAGE(OFFSET($H$3,0,0,'Données projet'!$E$12+1,1))</f>
        <v>587.74247372331615</v>
      </c>
      <c r="CE74" s="60">
        <f t="shared" si="94"/>
        <v>306.61893266146666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>
        <f>EXP(-LN(2)/35)*CK73+(1-EXP(-LN(2)/35))/(LN(2)/35)*CG74*CH74*VLOOKUP('Données projet'!$B$12,Paramètres!$A$1:$I$89,3,0)*0.475*44/12</f>
        <v>0</v>
      </c>
      <c r="CL74" s="23">
        <f>EXP(-LN(2)/25)*CL73+(1-EXP(-LN(2)/25))/(LN(2)/25)*Calculateur!CG74*Calculateur!CI74*VLOOKUP('Données projet'!$B$12,Paramètres!$A$1:$I$89,3,0)*0.475*44/12</f>
        <v>0</v>
      </c>
      <c r="CM74" s="23">
        <f>EXP(-LN(2)/2)*CM73+(1-EXP(-LN(2)/2))/(LN(2)/2)*CG74*CJ74*VLOOKUP('Données projet'!$B$12,Paramètres!$A$1:$I$89,3,0)*0.475*44/12</f>
        <v>0</v>
      </c>
      <c r="CN74" s="24">
        <f t="shared" si="66"/>
        <v>0</v>
      </c>
      <c r="CO74" s="77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7.6</v>
      </c>
      <c r="CT74" s="13">
        <f>IF('Données projet'!$A$140&gt;35,CT73+CS74-DB73,IF(A74&lt;'Données projet'!$A$140,$CQ$205^A74,IF(A74='Données projet'!$A$140,'Données projet'!$B$140,CT73+CS74-DB73)))</f>
        <v>309.59999999999997</v>
      </c>
      <c r="CU74" s="18">
        <f>CT74*VLOOKUP('Données projet'!$B$13,Paramètres!$A$1:$I$89,3,0)*VLOOKUP('Données projet'!$B$13,Paramètres!$A$1:$I$89,5,0)</f>
        <v>333.25343999999996</v>
      </c>
      <c r="CV74" s="14">
        <f t="shared" si="95"/>
        <v>78.104442670216116</v>
      </c>
      <c r="CW74" s="22">
        <f t="shared" si="67"/>
        <v>716.44831231729302</v>
      </c>
      <c r="CX74" s="60">
        <f t="shared" si="68"/>
        <v>1009.7816456506264</v>
      </c>
      <c r="CY74" s="60">
        <f ca="1">AVERAGE(OFFSET($CX$3,0,0,'Données projet'!$E$13+1,1))-AVERAGE(OFFSET($H$3,0,0,'Données projet'!$E$13+1,1))</f>
        <v>621.10465023992288</v>
      </c>
      <c r="CZ74" s="60">
        <f t="shared" si="96"/>
        <v>322.81767004794284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>
        <f>EXP(-LN(2)/35)*DF73+(1-EXP(-LN(2)/35))/(LN(2)/35)*DB74*DC74*VLOOKUP('Données projet'!$B$13,Paramètres!$A$1:$I$89,3,0)*0.475*44/12</f>
        <v>0</v>
      </c>
      <c r="DG74" s="23">
        <f>EXP(-LN(2)/25)*DG73+(1-EXP(-LN(2)/25))/(LN(2)/25)*Calculateur!DB74*Calculateur!DD74*VLOOKUP('Données projet'!$B$13,Paramètres!$A$1:$I$89,3,0)*0.475*44/12</f>
        <v>0</v>
      </c>
      <c r="DH74" s="23">
        <f>EXP(-LN(2)/2)*DH73+(1-EXP(-LN(2)/2))/(LN(2)/2)*DB74*DE74*VLOOKUP('Données projet'!$B$13,Paramètres!$A$1:$I$89,3,0)*0.475*44/12</f>
        <v>0</v>
      </c>
      <c r="DI74" s="24">
        <f t="shared" si="69"/>
        <v>0</v>
      </c>
      <c r="DJ74" s="77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7.6</v>
      </c>
      <c r="DO74" s="13">
        <f>IF('Données projet'!$A$166&gt;35,DO73+DN74-DW73,IF(A74&lt;'Données projet'!$A$166,$DL$205^A74,IF(A74='Données projet'!$A$166,'Données projet'!$B$166,DO73+DN74-DW73)))</f>
        <v>309.59999999999997</v>
      </c>
      <c r="DP74" s="18">
        <f>DO74*VLOOKUP('Données projet'!$B$14,Paramètres!$A$1:$I$89,3,0)*VLOOKUP('Données projet'!$B$14,Paramètres!$A$1:$I$89,5,0)</f>
        <v>299.44511999999997</v>
      </c>
      <c r="DQ74" s="14">
        <f t="shared" si="97"/>
        <v>71.060126783970659</v>
      </c>
      <c r="DR74" s="22">
        <f t="shared" si="70"/>
        <v>645.2966381487488</v>
      </c>
      <c r="DS74" s="60">
        <f t="shared" si="71"/>
        <v>938.62997148208206</v>
      </c>
      <c r="DT74" s="60">
        <f ca="1">AVERAGE(OFFSET($DS$3,0,0,'Données projet'!$E$14+1,1))-AVERAGE(OFFSET($H$3,0,0,'Données projet'!$E$14+1,1))</f>
        <v>562.69380557620775</v>
      </c>
      <c r="DU74" s="60">
        <f t="shared" si="98"/>
        <v>294.45557293177131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>
        <f>EXP(-LN(2)/35)*EA73+(1-EXP(-LN(2)/35))/(LN(2)/35)*DW74*DX74*VLOOKUP('Données projet'!$B$14,Paramètres!$A$1:$I$89,3,0)*0.475*44/12</f>
        <v>0</v>
      </c>
      <c r="EB74" s="23">
        <f>EXP(-LN(2)/25)*EB73+(1-EXP(-LN(2)/25))/(LN(2)/25)*Calculateur!DW74*Calculateur!DY74*VLOOKUP('Données projet'!$B$14,Paramètres!$A$1:$I$89,3,0)*0.475*44/12</f>
        <v>0</v>
      </c>
      <c r="EC74" s="23">
        <f>EXP(-LN(2)/2)*EC73+(1-EXP(-LN(2)/2))/(LN(2)/2)*DW74*DZ74*VLOOKUP('Données projet'!$B$14,Paramètres!$A$1:$I$89,3,0)*0.475*44/12</f>
        <v>0</v>
      </c>
      <c r="ED74" s="24">
        <f t="shared" si="72"/>
        <v>0</v>
      </c>
      <c r="EE74" s="77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1.1368683772161603E-13</v>
      </c>
      <c r="EK74" s="18">
        <f>EJ74*VLOOKUP('Données projet'!$B$15,Paramètres!$A$1:$I$89,3,0)*VLOOKUP('Données projet'!$B$15,Paramètres!$A$1:$I$89,5,0)</f>
        <v>8.8675733422860506E-14</v>
      </c>
      <c r="EL74" s="14">
        <f t="shared" si="99"/>
        <v>1.3509285393066301E-12</v>
      </c>
      <c r="EM74" s="22">
        <f t="shared" si="73"/>
        <v>2.5073107750038623E-12</v>
      </c>
      <c r="EN74" s="60">
        <f t="shared" si="74"/>
        <v>293.33333333333582</v>
      </c>
      <c r="EO74" s="60">
        <f ca="1">AVERAGE(OFFSET($EN$3,0,0,'Données projet'!$E$15+1,1))-AVERAGE(OFFSET($H$3,0,0,'Données projet'!$E$15+1,1))</f>
        <v>292.57482726862594</v>
      </c>
      <c r="EP74" s="60">
        <f t="shared" si="100"/>
        <v>283.48738729114024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>
        <f>EXP(-LN(2)/35)*EV73+(1-EXP(-LN(2)/35))/(LN(2)/35)*ER74*ES74*VLOOKUP('Données projet'!$B$15,Paramètres!$A$1:$I$89,3,0)*0.475*44/12</f>
        <v>0</v>
      </c>
      <c r="EW74" s="23">
        <f>EXP(-LN(2)/25)*EW73+(1-EXP(-LN(2)/25))/(LN(2)/25)*Calculateur!ER74*Calculateur!ET74*VLOOKUP('Données projet'!$B$15,Paramètres!$A$1:$I$89,3,0)*0.475*44/12</f>
        <v>0</v>
      </c>
      <c r="EX74" s="23">
        <f>EXP(-LN(2)/2)*EX73+(1-EXP(-LN(2)/2))/(LN(2)/2)*ER74*EU74*VLOOKUP('Données projet'!$B$15,Paramètres!$A$1:$I$89,3,0)*0.475*44/12</f>
        <v>0</v>
      </c>
      <c r="EY74" s="24">
        <f t="shared" si="75"/>
        <v>0</v>
      </c>
      <c r="EZ74" s="77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0" t="e">
        <f t="shared" si="77"/>
        <v>#N/A</v>
      </c>
      <c r="FJ74" s="60" t="e">
        <f ca="1">AVERAGE(OFFSET($FI$3,0,0,'Données projet'!$E$16+1,1))-AVERAGE(OFFSET($H$3,0,0,'Données projet'!$E$16+1,1))</f>
        <v>#N/A</v>
      </c>
      <c r="FK74" s="60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77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0" t="e">
        <f t="shared" si="80"/>
        <v>#N/A</v>
      </c>
      <c r="GE74" s="60" t="e">
        <f ca="1">AVERAGE(OFFSET($GD$3,0,0,'Données projet'!$E$17+1,1))-AVERAGE(OFFSET($H$3,0,0,'Données projet'!$E$17+1,1))</f>
        <v>#N/A</v>
      </c>
      <c r="GF74" s="60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77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0" t="e">
        <f t="shared" si="83"/>
        <v>#N/A</v>
      </c>
      <c r="GZ74" s="60" t="e">
        <f ca="1">AVERAGE(OFFSET($GY$3,0,0,'Données projet'!$E$18+1,1))-AVERAGE(OFFSET($H$3,0,0,'Données projet'!$E$18+1,1))</f>
        <v>#N/A</v>
      </c>
      <c r="HA74" s="60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25">
      <c r="A75" s="11">
        <f t="shared" si="85"/>
        <v>72</v>
      </c>
      <c r="B75" s="74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2">
        <f t="shared" si="86"/>
        <v>0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0</v>
      </c>
      <c r="H75" s="67">
        <f t="shared" si="56"/>
        <v>256.66666666666669</v>
      </c>
      <c r="I75" s="7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4.4871794871794917</v>
      </c>
      <c r="N75" s="14">
        <f>IF('Données projet'!$A$36&gt;35,N74+M75-V74,IF(A75&lt;'Données projet'!$A$36,$K$205^A75,IF(A75='Données projet'!$A$36,'Données projet'!$B$36,N74+M75-V74)))</f>
        <v>217.30769230769229</v>
      </c>
      <c r="O75" s="14">
        <f>N75*VLOOKUP('Données projet'!$B$9,Paramètres!$A$1:$I$89,3,0)*VLOOKUP('Données projet'!$B$9,Paramètres!$A$1:$I$89,5,0)</f>
        <v>206.79</v>
      </c>
      <c r="P75" s="14">
        <f t="shared" si="87"/>
        <v>51.233492313143536</v>
      </c>
      <c r="Q75" s="22">
        <f t="shared" si="54"/>
        <v>449.390915778725</v>
      </c>
      <c r="R75" s="60">
        <f t="shared" si="55"/>
        <v>742.72424911205826</v>
      </c>
      <c r="S75" s="60">
        <f ca="1">AVERAGE(OFFSET($R$3,0,0,'Données projet'!$E$9+1,1))-AVERAGE(OFFSET($H$3,0,0,'Données projet'!$E$9+1,1))</f>
        <v>403.49781966317852</v>
      </c>
      <c r="T75" s="60">
        <f t="shared" si="88"/>
        <v>326.06674572505409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0</v>
      </c>
      <c r="AA75" s="23">
        <f>EXP(-LN(2)/25)*AA74+(1-EXP(-LN(2)/25))/(LN(2)/25)*Calculateur!V75*Calculateur!X75*VLOOKUP('Données projet'!$B$9,Paramètres!$A$1:$I$89,3,0)*0.475*44/12</f>
        <v>0</v>
      </c>
      <c r="AB75" s="23">
        <f>EXP(-LN(2)/2)*AB74+(1-EXP(-LN(2)/2))/(LN(2)/2)*V75*Y75*VLOOKUP('Données projet'!$B$9,Paramètres!$A$1:$I$89,3,0)*0.475*44/12</f>
        <v>0</v>
      </c>
      <c r="AC75" s="24">
        <f t="shared" si="57"/>
        <v>0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2.6</v>
      </c>
      <c r="AI75" s="14">
        <f>IF('Données projet'!$A$62&gt;35,AI74+AH75-AQ74,IF(A75&lt;'Données projet'!$A$62,$AF$205^A75,IF(A75='Données projet'!$A$62,'Données projet'!$B$62,AI74+AH75-AQ74)))</f>
        <v>214.19999999999987</v>
      </c>
      <c r="AJ75" s="14">
        <f>AI75*VLOOKUP('Données projet'!$B$10,Paramètres!$A$1:$I$89,3,0)*VLOOKUP('Données projet'!$B$10,Paramètres!$A$1:$I$89,5,0)</f>
        <v>187.12511999999992</v>
      </c>
      <c r="AK75" s="14">
        <f t="shared" si="89"/>
        <v>46.903794805770502</v>
      </c>
      <c r="AL75" s="22">
        <f t="shared" si="58"/>
        <v>407.60035995338347</v>
      </c>
      <c r="AM75" s="60">
        <f t="shared" si="59"/>
        <v>700.93369328671679</v>
      </c>
      <c r="AN75" s="60">
        <f ca="1">AVERAGE(OFFSET($AM$3,0,0,'Données projet'!$E$10+1,1))-AVERAGE(OFFSET($H$3,0,0,'Données projet'!$E$10+1,1))</f>
        <v>274.66236526869056</v>
      </c>
      <c r="AO75" s="60">
        <f t="shared" si="90"/>
        <v>256.90876395053073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>
        <f>EXP(-LN(2)/35)*AU74+(1-EXP(-LN(2)/35))/(LN(2)/35)*AQ75*AR75*VLOOKUP('Données projet'!$B$10,Paramètres!$A$1:$I$89,3,0)*0.475*44/12</f>
        <v>0</v>
      </c>
      <c r="AV75" s="23">
        <f>EXP(-LN(2)/25)*AV74+(1-EXP(-LN(2)/25))/(LN(2)/25)*Calculateur!AQ75*Calculateur!AS75*VLOOKUP('Données projet'!$B$10,Paramètres!$A$1:$I$89,3,0)*0.475*44/12</f>
        <v>0</v>
      </c>
      <c r="AW75" s="23">
        <f>EXP(-LN(2)/2)*AW74+(1-EXP(-LN(2)/2))/(LN(2)/2)*AQ75*AT75*VLOOKUP('Données projet'!$B$10,Paramètres!$A$1:$I$89,3,0)*0.475*44/12</f>
        <v>0</v>
      </c>
      <c r="AX75" s="23">
        <f t="shared" si="60"/>
        <v>0</v>
      </c>
      <c r="AY75" s="76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7.6</v>
      </c>
      <c r="BD75" s="13">
        <f>IF('Données projet'!$A$88&gt;35,BD74+BC75-BL74,IF(A75&lt;'Données projet'!$A$88,$BA$205^A75,IF(A75='Données projet'!$A$88,'Données projet'!$B$88,BD74+BC75-BL74)))</f>
        <v>317.2</v>
      </c>
      <c r="BE75" s="14">
        <f>BD75*VLOOKUP('Données projet'!$B$11,Paramètres!$A$1:$I$89,3,0)*VLOOKUP('Données projet'!$B$11,Paramètres!$A$1:$I$89,5,0)</f>
        <v>287.00255999999996</v>
      </c>
      <c r="BF75" s="14">
        <f t="shared" si="91"/>
        <v>68.444716936118553</v>
      </c>
      <c r="BG75" s="22">
        <f t="shared" si="61"/>
        <v>619.07067399707296</v>
      </c>
      <c r="BH75" s="60">
        <f t="shared" si="62"/>
        <v>912.40400733040633</v>
      </c>
      <c r="BI75" s="60">
        <f ca="1">AVERAGE(OFFSET($BH$3,0,0,'Données projet'!$E$11+1,1))-AVERAGE(OFFSET($H$3,0,0,'Données projet'!$E$11+1,1))</f>
        <v>529.25712986118265</v>
      </c>
      <c r="BJ75" s="60">
        <f t="shared" si="92"/>
        <v>278.21741231699929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>
        <f>EXP(-LN(2)/35)*BP74+(1-EXP(-LN(2)/35))/(LN(2)/35)*BL75*BM75*VLOOKUP('Données projet'!$B$11,Paramètres!$A$1:$I$89,3,0)*0.475*44/12</f>
        <v>0</v>
      </c>
      <c r="BQ75" s="23">
        <f>EXP(-LN(2)/25)*BQ74+(1-EXP(-LN(2)/25))/(LN(2)/25)*Calculateur!BL75*Calculateur!BN75*VLOOKUP('Données projet'!$B$11,Paramètres!$A$1:$I$89,3,0)*0.475*44/12</f>
        <v>0</v>
      </c>
      <c r="BR75" s="23">
        <f>EXP(-LN(2)/2)*BR74+(1-EXP(-LN(2)/2))/(LN(2)/2)*BL75*BO75*VLOOKUP('Données projet'!$B$11,Paramètres!$A$1:$I$89,3,0)*0.475*44/12</f>
        <v>0</v>
      </c>
      <c r="BS75" s="24">
        <f t="shared" si="63"/>
        <v>0</v>
      </c>
      <c r="BT75" s="77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7.6</v>
      </c>
      <c r="BY75" s="13">
        <f>IF('Données projet'!$A$114&gt;35,BY74+BX75-CG74,IF(A75&lt;'Données projet'!$A$114,$BV$205^A75,IF(A75='Données projet'!$A$114,'Données projet'!$B$114,BY74+BX75-CG74)))</f>
        <v>317.2</v>
      </c>
      <c r="BZ75" s="14">
        <f>BY75*VLOOKUP('Données projet'!$B$12,Paramètres!$A$1:$I$89,3,0)*VLOOKUP('Données projet'!$B$12,Paramètres!$A$1:$I$89,5,0)</f>
        <v>321.64080000000001</v>
      </c>
      <c r="CA75" s="14">
        <f t="shared" si="93"/>
        <v>75.694652325793228</v>
      </c>
      <c r="CB75" s="22">
        <f t="shared" si="64"/>
        <v>692.0259128007566</v>
      </c>
      <c r="CC75" s="60">
        <f t="shared" si="65"/>
        <v>985.35924613408997</v>
      </c>
      <c r="CD75" s="60">
        <f ca="1">AVERAGE(OFFSET($CC$3,0,0,'Données projet'!$E$12+1,1))-AVERAGE(OFFSET($H$3,0,0,'Données projet'!$E$12+1,1))</f>
        <v>587.74247372331615</v>
      </c>
      <c r="CE75" s="60">
        <f t="shared" si="94"/>
        <v>306.61893266146666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>
        <f>EXP(-LN(2)/35)*CK74+(1-EXP(-LN(2)/35))/(LN(2)/35)*CG75*CH75*VLOOKUP('Données projet'!$B$12,Paramètres!$A$1:$I$89,3,0)*0.475*44/12</f>
        <v>0</v>
      </c>
      <c r="CL75" s="23">
        <f>EXP(-LN(2)/25)*CL74+(1-EXP(-LN(2)/25))/(LN(2)/25)*Calculateur!CG75*Calculateur!CI75*VLOOKUP('Données projet'!$B$12,Paramètres!$A$1:$I$89,3,0)*0.475*44/12</f>
        <v>0</v>
      </c>
      <c r="CM75" s="23">
        <f>EXP(-LN(2)/2)*CM74+(1-EXP(-LN(2)/2))/(LN(2)/2)*CG75*CJ75*VLOOKUP('Données projet'!$B$12,Paramètres!$A$1:$I$89,3,0)*0.475*44/12</f>
        <v>0</v>
      </c>
      <c r="CN75" s="24">
        <f t="shared" si="66"/>
        <v>0</v>
      </c>
      <c r="CO75" s="77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7.6</v>
      </c>
      <c r="CT75" s="13">
        <f>IF('Données projet'!$A$140&gt;35,CT74+CS75-DB74,IF(A75&lt;'Données projet'!$A$140,$CQ$205^A75,IF(A75='Données projet'!$A$140,'Données projet'!$B$140,CT74+CS75-DB74)))</f>
        <v>317.2</v>
      </c>
      <c r="CU75" s="18">
        <f>CT75*VLOOKUP('Données projet'!$B$13,Paramètres!$A$1:$I$89,3,0)*VLOOKUP('Données projet'!$B$13,Paramètres!$A$1:$I$89,5,0)</f>
        <v>341.43407999999994</v>
      </c>
      <c r="CV75" s="14">
        <f t="shared" si="95"/>
        <v>79.796163809870151</v>
      </c>
      <c r="CW75" s="22">
        <f t="shared" si="67"/>
        <v>733.64267463552369</v>
      </c>
      <c r="CX75" s="60">
        <f t="shared" si="68"/>
        <v>1026.9760079688569</v>
      </c>
      <c r="CY75" s="60">
        <f ca="1">AVERAGE(OFFSET($CX$3,0,0,'Données projet'!$E$13+1,1))-AVERAGE(OFFSET($H$3,0,0,'Données projet'!$E$13+1,1))</f>
        <v>621.10465023992288</v>
      </c>
      <c r="CZ75" s="60">
        <f t="shared" si="96"/>
        <v>322.81767004794284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>
        <f>EXP(-LN(2)/35)*DF74+(1-EXP(-LN(2)/35))/(LN(2)/35)*DB75*DC75*VLOOKUP('Données projet'!$B$13,Paramètres!$A$1:$I$89,3,0)*0.475*44/12</f>
        <v>0</v>
      </c>
      <c r="DG75" s="23">
        <f>EXP(-LN(2)/25)*DG74+(1-EXP(-LN(2)/25))/(LN(2)/25)*Calculateur!DB75*Calculateur!DD75*VLOOKUP('Données projet'!$B$13,Paramètres!$A$1:$I$89,3,0)*0.475*44/12</f>
        <v>0</v>
      </c>
      <c r="DH75" s="23">
        <f>EXP(-LN(2)/2)*DH74+(1-EXP(-LN(2)/2))/(LN(2)/2)*DB75*DE75*VLOOKUP('Données projet'!$B$13,Paramètres!$A$1:$I$89,3,0)*0.475*44/12</f>
        <v>0</v>
      </c>
      <c r="DI75" s="24">
        <f t="shared" si="69"/>
        <v>0</v>
      </c>
      <c r="DJ75" s="77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7.6</v>
      </c>
      <c r="DO75" s="13">
        <f>IF('Données projet'!$A$166&gt;35,DO74+DN75-DW74,IF(A75&lt;'Données projet'!$A$166,$DL$205^A75,IF(A75='Données projet'!$A$166,'Données projet'!$B$166,DO74+DN75-DW74)))</f>
        <v>317.2</v>
      </c>
      <c r="DP75" s="18">
        <f>DO75*VLOOKUP('Données projet'!$B$14,Paramètres!$A$1:$I$89,3,0)*VLOOKUP('Données projet'!$B$14,Paramètres!$A$1:$I$89,5,0)</f>
        <v>306.79584</v>
      </c>
      <c r="DQ75" s="14">
        <f t="shared" si="97"/>
        <v>72.599269943528554</v>
      </c>
      <c r="DR75" s="22">
        <f t="shared" si="70"/>
        <v>660.77981648497882</v>
      </c>
      <c r="DS75" s="60">
        <f t="shared" si="71"/>
        <v>954.11314981831219</v>
      </c>
      <c r="DT75" s="60">
        <f ca="1">AVERAGE(OFFSET($DS$3,0,0,'Données projet'!$E$14+1,1))-AVERAGE(OFFSET($H$3,0,0,'Données projet'!$E$14+1,1))</f>
        <v>562.69380557620775</v>
      </c>
      <c r="DU75" s="60">
        <f t="shared" si="98"/>
        <v>294.45557293177131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>
        <f>EXP(-LN(2)/35)*EA74+(1-EXP(-LN(2)/35))/(LN(2)/35)*DW75*DX75*VLOOKUP('Données projet'!$B$14,Paramètres!$A$1:$I$89,3,0)*0.475*44/12</f>
        <v>0</v>
      </c>
      <c r="EB75" s="23">
        <f>EXP(-LN(2)/25)*EB74+(1-EXP(-LN(2)/25))/(LN(2)/25)*Calculateur!DW75*Calculateur!DY75*VLOOKUP('Données projet'!$B$14,Paramètres!$A$1:$I$89,3,0)*0.475*44/12</f>
        <v>0</v>
      </c>
      <c r="EC75" s="23">
        <f>EXP(-LN(2)/2)*EC74+(1-EXP(-LN(2)/2))/(LN(2)/2)*DW75*DZ75*VLOOKUP('Données projet'!$B$14,Paramètres!$A$1:$I$89,3,0)*0.475*44/12</f>
        <v>0</v>
      </c>
      <c r="ED75" s="24">
        <f t="shared" si="72"/>
        <v>0</v>
      </c>
      <c r="EE75" s="77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1.1368683772161603E-13</v>
      </c>
      <c r="EK75" s="18">
        <f>EJ75*VLOOKUP('Données projet'!$B$15,Paramètres!$A$1:$I$89,3,0)*VLOOKUP('Données projet'!$B$15,Paramètres!$A$1:$I$89,5,0)</f>
        <v>8.8675733422860506E-14</v>
      </c>
      <c r="EL75" s="14">
        <f t="shared" si="99"/>
        <v>1.3509285393066301E-12</v>
      </c>
      <c r="EM75" s="22">
        <f t="shared" si="73"/>
        <v>2.5073107750038623E-12</v>
      </c>
      <c r="EN75" s="60">
        <f t="shared" si="74"/>
        <v>293.33333333333582</v>
      </c>
      <c r="EO75" s="60">
        <f ca="1">AVERAGE(OFFSET($EN$3,0,0,'Données projet'!$E$15+1,1))-AVERAGE(OFFSET($H$3,0,0,'Données projet'!$E$15+1,1))</f>
        <v>292.57482726862594</v>
      </c>
      <c r="EP75" s="60">
        <f t="shared" si="100"/>
        <v>283.48738729114024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>
        <f>EXP(-LN(2)/35)*EV74+(1-EXP(-LN(2)/35))/(LN(2)/35)*ER75*ES75*VLOOKUP('Données projet'!$B$15,Paramètres!$A$1:$I$89,3,0)*0.475*44/12</f>
        <v>0</v>
      </c>
      <c r="EW75" s="23">
        <f>EXP(-LN(2)/25)*EW74+(1-EXP(-LN(2)/25))/(LN(2)/25)*Calculateur!ER75*Calculateur!ET75*VLOOKUP('Données projet'!$B$15,Paramètres!$A$1:$I$89,3,0)*0.475*44/12</f>
        <v>0</v>
      </c>
      <c r="EX75" s="23">
        <f>EXP(-LN(2)/2)*EX74+(1-EXP(-LN(2)/2))/(LN(2)/2)*ER75*EU75*VLOOKUP('Données projet'!$B$15,Paramètres!$A$1:$I$89,3,0)*0.475*44/12</f>
        <v>0</v>
      </c>
      <c r="EY75" s="24">
        <f t="shared" si="75"/>
        <v>0</v>
      </c>
      <c r="EZ75" s="77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0" t="e">
        <f t="shared" si="77"/>
        <v>#N/A</v>
      </c>
      <c r="FJ75" s="60" t="e">
        <f ca="1">AVERAGE(OFFSET($FI$3,0,0,'Données projet'!$E$16+1,1))-AVERAGE(OFFSET($H$3,0,0,'Données projet'!$E$16+1,1))</f>
        <v>#N/A</v>
      </c>
      <c r="FK75" s="60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77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0" t="e">
        <f t="shared" si="80"/>
        <v>#N/A</v>
      </c>
      <c r="GE75" s="60" t="e">
        <f ca="1">AVERAGE(OFFSET($GD$3,0,0,'Données projet'!$E$17+1,1))-AVERAGE(OFFSET($H$3,0,0,'Données projet'!$E$17+1,1))</f>
        <v>#N/A</v>
      </c>
      <c r="GF75" s="60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77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0" t="e">
        <f t="shared" si="83"/>
        <v>#N/A</v>
      </c>
      <c r="GZ75" s="60" t="e">
        <f ca="1">AVERAGE(OFFSET($GY$3,0,0,'Données projet'!$E$18+1,1))-AVERAGE(OFFSET($H$3,0,0,'Données projet'!$E$18+1,1))</f>
        <v>#N/A</v>
      </c>
      <c r="HA75" s="60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25">
      <c r="A76" s="11">
        <f t="shared" si="85"/>
        <v>73</v>
      </c>
      <c r="B76" s="74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2">
        <f t="shared" si="86"/>
        <v>0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0</v>
      </c>
      <c r="H76" s="67">
        <f t="shared" si="56"/>
        <v>256.66666666666669</v>
      </c>
      <c r="I76" s="7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4.4871794871794917</v>
      </c>
      <c r="N76" s="14">
        <f>IF('Données projet'!$A$36&gt;35,N75+M76-V75,IF(A76&lt;'Données projet'!$A$36,$K$205^A76,IF(A76='Données projet'!$A$36,'Données projet'!$B$36,N75+M76-V75)))</f>
        <v>221.7948717948718</v>
      </c>
      <c r="O76" s="14">
        <f>N76*VLOOKUP('Données projet'!$B$9,Paramètres!$A$1:$I$89,3,0)*VLOOKUP('Données projet'!$B$9,Paramètres!$A$1:$I$89,5,0)</f>
        <v>211.06</v>
      </c>
      <c r="P76" s="14">
        <f t="shared" si="87"/>
        <v>52.167154446757792</v>
      </c>
      <c r="Q76" s="22">
        <f t="shared" si="54"/>
        <v>458.4539606614365</v>
      </c>
      <c r="R76" s="60">
        <f t="shared" si="55"/>
        <v>751.78729399476981</v>
      </c>
      <c r="S76" s="60">
        <f ca="1">AVERAGE(OFFSET($R$3,0,0,'Données projet'!$E$9+1,1))-AVERAGE(OFFSET($H$3,0,0,'Données projet'!$E$9+1,1))</f>
        <v>403.49781966317852</v>
      </c>
      <c r="T76" s="60">
        <f t="shared" si="88"/>
        <v>326.06674572505409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0</v>
      </c>
      <c r="AA76" s="23">
        <f>EXP(-LN(2)/25)*AA75+(1-EXP(-LN(2)/25))/(LN(2)/25)*Calculateur!V76*Calculateur!X76*VLOOKUP('Données projet'!$B$9,Paramètres!$A$1:$I$89,3,0)*0.475*44/12</f>
        <v>0</v>
      </c>
      <c r="AB76" s="23">
        <f>EXP(-LN(2)/2)*AB75+(1-EXP(-LN(2)/2))/(LN(2)/2)*V76*Y76*VLOOKUP('Données projet'!$B$9,Paramètres!$A$1:$I$89,3,0)*0.475*44/12</f>
        <v>0</v>
      </c>
      <c r="AC76" s="24">
        <f t="shared" si="57"/>
        <v>0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2.6</v>
      </c>
      <c r="AI76" s="14">
        <f>IF('Données projet'!$A$62&gt;35,AI75+AH76-AQ75,IF(A76&lt;'Données projet'!$A$62,$AF$205^A76,IF(A76='Données projet'!$A$62,'Données projet'!$B$62,AI75+AH76-AQ75)))</f>
        <v>216.79999999999987</v>
      </c>
      <c r="AJ76" s="14">
        <f>AI76*VLOOKUP('Données projet'!$B$10,Paramètres!$A$1:$I$89,3,0)*VLOOKUP('Données projet'!$B$10,Paramètres!$A$1:$I$89,5,0)</f>
        <v>189.39647999999991</v>
      </c>
      <c r="AK76" s="14">
        <f t="shared" si="89"/>
        <v>47.406498452084506</v>
      </c>
      <c r="AL76" s="22">
        <f t="shared" si="58"/>
        <v>412.4318541373803</v>
      </c>
      <c r="AM76" s="60">
        <f t="shared" si="59"/>
        <v>705.76518747071361</v>
      </c>
      <c r="AN76" s="60">
        <f ca="1">AVERAGE(OFFSET($AM$3,0,0,'Données projet'!$E$10+1,1))-AVERAGE(OFFSET($H$3,0,0,'Données projet'!$E$10+1,1))</f>
        <v>274.66236526869056</v>
      </c>
      <c r="AO76" s="60">
        <f t="shared" si="90"/>
        <v>256.90876395053073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>
        <f>EXP(-LN(2)/35)*AU75+(1-EXP(-LN(2)/35))/(LN(2)/35)*AQ76*AR76*VLOOKUP('Données projet'!$B$10,Paramètres!$A$1:$I$89,3,0)*0.475*44/12</f>
        <v>0</v>
      </c>
      <c r="AV76" s="23">
        <f>EXP(-LN(2)/25)*AV75+(1-EXP(-LN(2)/25))/(LN(2)/25)*Calculateur!AQ76*Calculateur!AS76*VLOOKUP('Données projet'!$B$10,Paramètres!$A$1:$I$89,3,0)*0.475*44/12</f>
        <v>0</v>
      </c>
      <c r="AW76" s="23">
        <f>EXP(-LN(2)/2)*AW75+(1-EXP(-LN(2)/2))/(LN(2)/2)*AQ76*AT76*VLOOKUP('Données projet'!$B$10,Paramètres!$A$1:$I$89,3,0)*0.475*44/12</f>
        <v>0</v>
      </c>
      <c r="AX76" s="23">
        <f t="shared" si="60"/>
        <v>0</v>
      </c>
      <c r="AY76" s="76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7.6</v>
      </c>
      <c r="BD76" s="13">
        <f>IF('Données projet'!$A$88&gt;35,BD75+BC76-BL75,IF(A76&lt;'Données projet'!$A$88,$BA$205^A76,IF(A76='Données projet'!$A$88,'Données projet'!$B$88,BD75+BC76-BL75)))</f>
        <v>324.8</v>
      </c>
      <c r="BE76" s="14">
        <f>BD76*VLOOKUP('Données projet'!$B$11,Paramètres!$A$1:$I$89,3,0)*VLOOKUP('Données projet'!$B$11,Paramètres!$A$1:$I$89,5,0)</f>
        <v>293.87903999999997</v>
      </c>
      <c r="BF76" s="14">
        <f t="shared" si="91"/>
        <v>69.891739712361669</v>
      </c>
      <c r="BG76" s="22">
        <f t="shared" si="61"/>
        <v>633.56744133236327</v>
      </c>
      <c r="BH76" s="60">
        <f t="shared" si="62"/>
        <v>926.90077466569664</v>
      </c>
      <c r="BI76" s="60">
        <f ca="1">AVERAGE(OFFSET($BH$3,0,0,'Données projet'!$E$11+1,1))-AVERAGE(OFFSET($H$3,0,0,'Données projet'!$E$11+1,1))</f>
        <v>529.25712986118265</v>
      </c>
      <c r="BJ76" s="60">
        <f t="shared" si="92"/>
        <v>278.21741231699929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>
        <f>EXP(-LN(2)/35)*BP75+(1-EXP(-LN(2)/35))/(LN(2)/35)*BL76*BM76*VLOOKUP('Données projet'!$B$11,Paramètres!$A$1:$I$89,3,0)*0.475*44/12</f>
        <v>0</v>
      </c>
      <c r="BQ76" s="23">
        <f>EXP(-LN(2)/25)*BQ75+(1-EXP(-LN(2)/25))/(LN(2)/25)*Calculateur!BL76*Calculateur!BN76*VLOOKUP('Données projet'!$B$11,Paramètres!$A$1:$I$89,3,0)*0.475*44/12</f>
        <v>0</v>
      </c>
      <c r="BR76" s="23">
        <f>EXP(-LN(2)/2)*BR75+(1-EXP(-LN(2)/2))/(LN(2)/2)*BL76*BO76*VLOOKUP('Données projet'!$B$11,Paramètres!$A$1:$I$89,3,0)*0.475*44/12</f>
        <v>0</v>
      </c>
      <c r="BS76" s="24">
        <f t="shared" si="63"/>
        <v>0</v>
      </c>
      <c r="BT76" s="77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7.6</v>
      </c>
      <c r="BY76" s="13">
        <f>IF('Données projet'!$A$114&gt;35,BY75+BX76-CG75,IF(A76&lt;'Données projet'!$A$114,$BV$205^A76,IF(A76='Données projet'!$A$114,'Données projet'!$B$114,BY75+BX76-CG75)))</f>
        <v>324.8</v>
      </c>
      <c r="BZ76" s="14">
        <f>BY76*VLOOKUP('Données projet'!$B$12,Paramètres!$A$1:$I$89,3,0)*VLOOKUP('Données projet'!$B$12,Paramètres!$A$1:$I$89,5,0)</f>
        <v>329.34720000000004</v>
      </c>
      <c r="CA76" s="14">
        <f t="shared" si="93"/>
        <v>77.294949483241496</v>
      </c>
      <c r="CB76" s="22">
        <f t="shared" si="64"/>
        <v>708.23507701664573</v>
      </c>
      <c r="CC76" s="60">
        <f t="shared" si="65"/>
        <v>1001.5684103499791</v>
      </c>
      <c r="CD76" s="60">
        <f ca="1">AVERAGE(OFFSET($CC$3,0,0,'Données projet'!$E$12+1,1))-AVERAGE(OFFSET($H$3,0,0,'Données projet'!$E$12+1,1))</f>
        <v>587.74247372331615</v>
      </c>
      <c r="CE76" s="60">
        <f t="shared" si="94"/>
        <v>306.61893266146666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>
        <f>EXP(-LN(2)/35)*CK75+(1-EXP(-LN(2)/35))/(LN(2)/35)*CG76*CH76*VLOOKUP('Données projet'!$B$12,Paramètres!$A$1:$I$89,3,0)*0.475*44/12</f>
        <v>0</v>
      </c>
      <c r="CL76" s="23">
        <f>EXP(-LN(2)/25)*CL75+(1-EXP(-LN(2)/25))/(LN(2)/25)*Calculateur!CG76*Calculateur!CI76*VLOOKUP('Données projet'!$B$12,Paramètres!$A$1:$I$89,3,0)*0.475*44/12</f>
        <v>0</v>
      </c>
      <c r="CM76" s="23">
        <f>EXP(-LN(2)/2)*CM75+(1-EXP(-LN(2)/2))/(LN(2)/2)*CG76*CJ76*VLOOKUP('Données projet'!$B$12,Paramètres!$A$1:$I$89,3,0)*0.475*44/12</f>
        <v>0</v>
      </c>
      <c r="CN76" s="24">
        <f t="shared" si="66"/>
        <v>0</v>
      </c>
      <c r="CO76" s="77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7.6</v>
      </c>
      <c r="CT76" s="13">
        <f>IF('Données projet'!$A$140&gt;35,CT75+CS76-DB75,IF(A76&lt;'Données projet'!$A$140,$CQ$205^A76,IF(A76='Données projet'!$A$140,'Données projet'!$B$140,CT75+CS76-DB75)))</f>
        <v>324.8</v>
      </c>
      <c r="CU76" s="18">
        <f>CT76*VLOOKUP('Données projet'!$B$13,Paramètres!$A$1:$I$89,3,0)*VLOOKUP('Données projet'!$B$13,Paramètres!$A$1:$I$89,5,0)</f>
        <v>349.61471999999998</v>
      </c>
      <c r="CV76" s="14">
        <f t="shared" si="95"/>
        <v>81.48317300003859</v>
      </c>
      <c r="CW76" s="22">
        <f t="shared" si="67"/>
        <v>750.82883030840048</v>
      </c>
      <c r="CX76" s="60">
        <f t="shared" si="68"/>
        <v>1044.1621636417337</v>
      </c>
      <c r="CY76" s="60">
        <f ca="1">AVERAGE(OFFSET($CX$3,0,0,'Données projet'!$E$13+1,1))-AVERAGE(OFFSET($H$3,0,0,'Données projet'!$E$13+1,1))</f>
        <v>621.10465023992288</v>
      </c>
      <c r="CZ76" s="60">
        <f t="shared" si="96"/>
        <v>322.81767004794284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>
        <f>EXP(-LN(2)/35)*DF75+(1-EXP(-LN(2)/35))/(LN(2)/35)*DB76*DC76*VLOOKUP('Données projet'!$B$13,Paramètres!$A$1:$I$89,3,0)*0.475*44/12</f>
        <v>0</v>
      </c>
      <c r="DG76" s="23">
        <f>EXP(-LN(2)/25)*DG75+(1-EXP(-LN(2)/25))/(LN(2)/25)*Calculateur!DB76*Calculateur!DD76*VLOOKUP('Données projet'!$B$13,Paramètres!$A$1:$I$89,3,0)*0.475*44/12</f>
        <v>0</v>
      </c>
      <c r="DH76" s="23">
        <f>EXP(-LN(2)/2)*DH75+(1-EXP(-LN(2)/2))/(LN(2)/2)*DB76*DE76*VLOOKUP('Données projet'!$B$13,Paramètres!$A$1:$I$89,3,0)*0.475*44/12</f>
        <v>0</v>
      </c>
      <c r="DI76" s="24">
        <f t="shared" si="69"/>
        <v>0</v>
      </c>
      <c r="DJ76" s="77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7.6</v>
      </c>
      <c r="DO76" s="13">
        <f>IF('Données projet'!$A$166&gt;35,DO75+DN76-DW75,IF(A76&lt;'Données projet'!$A$166,$DL$205^A76,IF(A76='Données projet'!$A$166,'Données projet'!$B$166,DO75+DN76-DW75)))</f>
        <v>324.8</v>
      </c>
      <c r="DP76" s="18">
        <f>DO76*VLOOKUP('Données projet'!$B$14,Paramètres!$A$1:$I$89,3,0)*VLOOKUP('Données projet'!$B$14,Paramètres!$A$1:$I$89,5,0)</f>
        <v>314.14656000000002</v>
      </c>
      <c r="DQ76" s="14">
        <f t="shared" si="97"/>
        <v>74.134126128922034</v>
      </c>
      <c r="DR76" s="22">
        <f t="shared" si="70"/>
        <v>676.25552834120583</v>
      </c>
      <c r="DS76" s="60">
        <f t="shared" si="71"/>
        <v>969.5888616745392</v>
      </c>
      <c r="DT76" s="60">
        <f ca="1">AVERAGE(OFFSET($DS$3,0,0,'Données projet'!$E$14+1,1))-AVERAGE(OFFSET($H$3,0,0,'Données projet'!$E$14+1,1))</f>
        <v>562.69380557620775</v>
      </c>
      <c r="DU76" s="60">
        <f t="shared" si="98"/>
        <v>294.45557293177131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>
        <f>EXP(-LN(2)/35)*EA75+(1-EXP(-LN(2)/35))/(LN(2)/35)*DW76*DX76*VLOOKUP('Données projet'!$B$14,Paramètres!$A$1:$I$89,3,0)*0.475*44/12</f>
        <v>0</v>
      </c>
      <c r="EB76" s="23">
        <f>EXP(-LN(2)/25)*EB75+(1-EXP(-LN(2)/25))/(LN(2)/25)*Calculateur!DW76*Calculateur!DY76*VLOOKUP('Données projet'!$B$14,Paramètres!$A$1:$I$89,3,0)*0.475*44/12</f>
        <v>0</v>
      </c>
      <c r="EC76" s="23">
        <f>EXP(-LN(2)/2)*EC75+(1-EXP(-LN(2)/2))/(LN(2)/2)*DW76*DZ76*VLOOKUP('Données projet'!$B$14,Paramètres!$A$1:$I$89,3,0)*0.475*44/12</f>
        <v>0</v>
      </c>
      <c r="ED76" s="24">
        <f t="shared" si="72"/>
        <v>0</v>
      </c>
      <c r="EE76" s="77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1.1368683772161603E-13</v>
      </c>
      <c r="EK76" s="18">
        <f>EJ76*VLOOKUP('Données projet'!$B$15,Paramètres!$A$1:$I$89,3,0)*VLOOKUP('Données projet'!$B$15,Paramètres!$A$1:$I$89,5,0)</f>
        <v>8.8675733422860506E-14</v>
      </c>
      <c r="EL76" s="14">
        <f t="shared" si="99"/>
        <v>1.3509285393066301E-12</v>
      </c>
      <c r="EM76" s="22">
        <f t="shared" si="73"/>
        <v>2.5073107750038623E-12</v>
      </c>
      <c r="EN76" s="60">
        <f t="shared" si="74"/>
        <v>293.33333333333582</v>
      </c>
      <c r="EO76" s="60">
        <f ca="1">AVERAGE(OFFSET($EN$3,0,0,'Données projet'!$E$15+1,1))-AVERAGE(OFFSET($H$3,0,0,'Données projet'!$E$15+1,1))</f>
        <v>292.57482726862594</v>
      </c>
      <c r="EP76" s="60">
        <f t="shared" si="100"/>
        <v>283.48738729114024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>
        <f>EXP(-LN(2)/35)*EV75+(1-EXP(-LN(2)/35))/(LN(2)/35)*ER76*ES76*VLOOKUP('Données projet'!$B$15,Paramètres!$A$1:$I$89,3,0)*0.475*44/12</f>
        <v>0</v>
      </c>
      <c r="EW76" s="23">
        <f>EXP(-LN(2)/25)*EW75+(1-EXP(-LN(2)/25))/(LN(2)/25)*Calculateur!ER76*Calculateur!ET76*VLOOKUP('Données projet'!$B$15,Paramètres!$A$1:$I$89,3,0)*0.475*44/12</f>
        <v>0</v>
      </c>
      <c r="EX76" s="23">
        <f>EXP(-LN(2)/2)*EX75+(1-EXP(-LN(2)/2))/(LN(2)/2)*ER76*EU76*VLOOKUP('Données projet'!$B$15,Paramètres!$A$1:$I$89,3,0)*0.475*44/12</f>
        <v>0</v>
      </c>
      <c r="EY76" s="24">
        <f t="shared" si="75"/>
        <v>0</v>
      </c>
      <c r="EZ76" s="77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0" t="e">
        <f t="shared" si="77"/>
        <v>#N/A</v>
      </c>
      <c r="FJ76" s="60" t="e">
        <f ca="1">AVERAGE(OFFSET($FI$3,0,0,'Données projet'!$E$16+1,1))-AVERAGE(OFFSET($H$3,0,0,'Données projet'!$E$16+1,1))</f>
        <v>#N/A</v>
      </c>
      <c r="FK76" s="60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77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0" t="e">
        <f t="shared" si="80"/>
        <v>#N/A</v>
      </c>
      <c r="GE76" s="60" t="e">
        <f ca="1">AVERAGE(OFFSET($GD$3,0,0,'Données projet'!$E$17+1,1))-AVERAGE(OFFSET($H$3,0,0,'Données projet'!$E$17+1,1))</f>
        <v>#N/A</v>
      </c>
      <c r="GF76" s="60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77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0" t="e">
        <f t="shared" si="83"/>
        <v>#N/A</v>
      </c>
      <c r="GZ76" s="60" t="e">
        <f ca="1">AVERAGE(OFFSET($GY$3,0,0,'Données projet'!$E$18+1,1))-AVERAGE(OFFSET($H$3,0,0,'Données projet'!$E$18+1,1))</f>
        <v>#N/A</v>
      </c>
      <c r="HA76" s="60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25">
      <c r="A77" s="11">
        <f t="shared" si="85"/>
        <v>74</v>
      </c>
      <c r="B77" s="74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2">
        <f t="shared" si="86"/>
        <v>0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0</v>
      </c>
      <c r="H77" s="67">
        <f t="shared" si="56"/>
        <v>256.66666666666669</v>
      </c>
      <c r="I77" s="7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4.4871794871794917</v>
      </c>
      <c r="N77" s="14">
        <f>IF('Données projet'!$A$36&gt;35,N76+M77-V76,IF(A77&lt;'Données projet'!$A$36,$K$205^A77,IF(A77='Données projet'!$A$36,'Données projet'!$B$36,N76+M77-V76)))</f>
        <v>226.2820512820513</v>
      </c>
      <c r="O77" s="14">
        <f>N77*VLOOKUP('Données projet'!$B$9,Paramètres!$A$1:$I$89,3,0)*VLOOKUP('Données projet'!$B$9,Paramètres!$A$1:$I$89,5,0)</f>
        <v>215.33000000000004</v>
      </c>
      <c r="P77" s="14">
        <f t="shared" si="87"/>
        <v>53.098620315464494</v>
      </c>
      <c r="Q77" s="22">
        <f t="shared" si="54"/>
        <v>467.51318038276736</v>
      </c>
      <c r="R77" s="60">
        <f t="shared" si="55"/>
        <v>760.84651371610062</v>
      </c>
      <c r="S77" s="60">
        <f ca="1">AVERAGE(OFFSET($R$3,0,0,'Données projet'!$E$9+1,1))-AVERAGE(OFFSET($H$3,0,0,'Données projet'!$E$9+1,1))</f>
        <v>403.49781966317852</v>
      </c>
      <c r="T77" s="60">
        <f t="shared" si="88"/>
        <v>326.06674572505409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0</v>
      </c>
      <c r="AA77" s="23">
        <f>EXP(-LN(2)/25)*AA76+(1-EXP(-LN(2)/25))/(LN(2)/25)*Calculateur!V77*Calculateur!X77*VLOOKUP('Données projet'!$B$9,Paramètres!$A$1:$I$89,3,0)*0.475*44/12</f>
        <v>0</v>
      </c>
      <c r="AB77" s="23">
        <f>EXP(-LN(2)/2)*AB76+(1-EXP(-LN(2)/2))/(LN(2)/2)*V77*Y77*VLOOKUP('Données projet'!$B$9,Paramètres!$A$1:$I$89,3,0)*0.475*44/12</f>
        <v>0</v>
      </c>
      <c r="AC77" s="24">
        <f t="shared" si="57"/>
        <v>0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2.6</v>
      </c>
      <c r="AI77" s="14">
        <f>IF('Données projet'!$A$62&gt;35,AI76+AH77-AQ76,IF(A77&lt;'Données projet'!$A$62,$AF$205^A77,IF(A77='Données projet'!$A$62,'Données projet'!$B$62,AI76+AH77-AQ76)))</f>
        <v>219.39999999999986</v>
      </c>
      <c r="AJ77" s="14">
        <f>AI77*VLOOKUP('Données projet'!$B$10,Paramètres!$A$1:$I$89,3,0)*VLOOKUP('Données projet'!$B$10,Paramètres!$A$1:$I$89,5,0)</f>
        <v>191.6678399999999</v>
      </c>
      <c r="AK77" s="14">
        <f t="shared" si="89"/>
        <v>47.908500825580958</v>
      </c>
      <c r="AL77" s="22">
        <f t="shared" si="58"/>
        <v>417.26212693788665</v>
      </c>
      <c r="AM77" s="60">
        <f t="shared" si="59"/>
        <v>710.59546027121996</v>
      </c>
      <c r="AN77" s="60">
        <f ca="1">AVERAGE(OFFSET($AM$3,0,0,'Données projet'!$E$10+1,1))-AVERAGE(OFFSET($H$3,0,0,'Données projet'!$E$10+1,1))</f>
        <v>274.66236526869056</v>
      </c>
      <c r="AO77" s="60">
        <f t="shared" si="90"/>
        <v>256.90876395053073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>
        <f>EXP(-LN(2)/35)*AU76+(1-EXP(-LN(2)/35))/(LN(2)/35)*AQ77*AR77*VLOOKUP('Données projet'!$B$10,Paramètres!$A$1:$I$89,3,0)*0.475*44/12</f>
        <v>0</v>
      </c>
      <c r="AV77" s="23">
        <f>EXP(-LN(2)/25)*AV76+(1-EXP(-LN(2)/25))/(LN(2)/25)*Calculateur!AQ77*Calculateur!AS77*VLOOKUP('Données projet'!$B$10,Paramètres!$A$1:$I$89,3,0)*0.475*44/12</f>
        <v>0</v>
      </c>
      <c r="AW77" s="23">
        <f>EXP(-LN(2)/2)*AW76+(1-EXP(-LN(2)/2))/(LN(2)/2)*AQ77*AT77*VLOOKUP('Données projet'!$B$10,Paramètres!$A$1:$I$89,3,0)*0.475*44/12</f>
        <v>0</v>
      </c>
      <c r="AX77" s="23">
        <f t="shared" si="60"/>
        <v>0</v>
      </c>
      <c r="AY77" s="76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7.6</v>
      </c>
      <c r="BD77" s="13">
        <f>IF('Données projet'!$A$88&gt;35,BD76+BC77-BL76,IF(A77&lt;'Données projet'!$A$88,$BA$205^A77,IF(A77='Données projet'!$A$88,'Données projet'!$B$88,BD76+BC77-BL76)))</f>
        <v>332.40000000000003</v>
      </c>
      <c r="BE77" s="14">
        <f>BD77*VLOOKUP('Données projet'!$B$11,Paramètres!$A$1:$I$89,3,0)*VLOOKUP('Données projet'!$B$11,Paramètres!$A$1:$I$89,5,0)</f>
        <v>300.75551999999999</v>
      </c>
      <c r="BF77" s="14">
        <f t="shared" si="91"/>
        <v>71.334826294482014</v>
      </c>
      <c r="BG77" s="22">
        <f t="shared" si="61"/>
        <v>648.05735312955619</v>
      </c>
      <c r="BH77" s="60">
        <f t="shared" si="62"/>
        <v>941.39068646288956</v>
      </c>
      <c r="BI77" s="60">
        <f ca="1">AVERAGE(OFFSET($BH$3,0,0,'Données projet'!$E$11+1,1))-AVERAGE(OFFSET($H$3,0,0,'Données projet'!$E$11+1,1))</f>
        <v>529.25712986118265</v>
      </c>
      <c r="BJ77" s="60">
        <f t="shared" si="92"/>
        <v>278.21741231699929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>
        <f>EXP(-LN(2)/35)*BP76+(1-EXP(-LN(2)/35))/(LN(2)/35)*BL77*BM77*VLOOKUP('Données projet'!$B$11,Paramètres!$A$1:$I$89,3,0)*0.475*44/12</f>
        <v>0</v>
      </c>
      <c r="BQ77" s="23">
        <f>EXP(-LN(2)/25)*BQ76+(1-EXP(-LN(2)/25))/(LN(2)/25)*Calculateur!BL77*Calculateur!BN77*VLOOKUP('Données projet'!$B$11,Paramètres!$A$1:$I$89,3,0)*0.475*44/12</f>
        <v>0</v>
      </c>
      <c r="BR77" s="23">
        <f>EXP(-LN(2)/2)*BR76+(1-EXP(-LN(2)/2))/(LN(2)/2)*BL77*BO77*VLOOKUP('Données projet'!$B$11,Paramètres!$A$1:$I$89,3,0)*0.475*44/12</f>
        <v>0</v>
      </c>
      <c r="BS77" s="24">
        <f t="shared" si="63"/>
        <v>0</v>
      </c>
      <c r="BT77" s="77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7.6</v>
      </c>
      <c r="BY77" s="13">
        <f>IF('Données projet'!$A$114&gt;35,BY76+BX77-CG76,IF(A77&lt;'Données projet'!$A$114,$BV$205^A77,IF(A77='Données projet'!$A$114,'Données projet'!$B$114,BY76+BX77-CG76)))</f>
        <v>332.40000000000003</v>
      </c>
      <c r="BZ77" s="14">
        <f>BY77*VLOOKUP('Données projet'!$B$12,Paramètres!$A$1:$I$89,3,0)*VLOOKUP('Données projet'!$B$12,Paramètres!$A$1:$I$89,5,0)</f>
        <v>337.05360000000007</v>
      </c>
      <c r="CA77" s="14">
        <f t="shared" si="93"/>
        <v>78.890893509302231</v>
      </c>
      <c r="CB77" s="22">
        <f t="shared" si="64"/>
        <v>724.43665952870151</v>
      </c>
      <c r="CC77" s="60">
        <f t="shared" si="65"/>
        <v>1017.7699928620348</v>
      </c>
      <c r="CD77" s="60">
        <f ca="1">AVERAGE(OFFSET($CC$3,0,0,'Données projet'!$E$12+1,1))-AVERAGE(OFFSET($H$3,0,0,'Données projet'!$E$12+1,1))</f>
        <v>587.74247372331615</v>
      </c>
      <c r="CE77" s="60">
        <f t="shared" si="94"/>
        <v>306.61893266146666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>
        <f>EXP(-LN(2)/35)*CK76+(1-EXP(-LN(2)/35))/(LN(2)/35)*CG77*CH77*VLOOKUP('Données projet'!$B$12,Paramètres!$A$1:$I$89,3,0)*0.475*44/12</f>
        <v>0</v>
      </c>
      <c r="CL77" s="23">
        <f>EXP(-LN(2)/25)*CL76+(1-EXP(-LN(2)/25))/(LN(2)/25)*Calculateur!CG77*Calculateur!CI77*VLOOKUP('Données projet'!$B$12,Paramètres!$A$1:$I$89,3,0)*0.475*44/12</f>
        <v>0</v>
      </c>
      <c r="CM77" s="23">
        <f>EXP(-LN(2)/2)*CM76+(1-EXP(-LN(2)/2))/(LN(2)/2)*CG77*CJ77*VLOOKUP('Données projet'!$B$12,Paramètres!$A$1:$I$89,3,0)*0.475*44/12</f>
        <v>0</v>
      </c>
      <c r="CN77" s="24">
        <f t="shared" si="66"/>
        <v>0</v>
      </c>
      <c r="CO77" s="77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7.6</v>
      </c>
      <c r="CT77" s="13">
        <f>IF('Données projet'!$A$140&gt;35,CT76+CS77-DB76,IF(A77&lt;'Données projet'!$A$140,$CQ$205^A77,IF(A77='Données projet'!$A$140,'Données projet'!$B$140,CT76+CS77-DB76)))</f>
        <v>332.40000000000003</v>
      </c>
      <c r="CU77" s="18">
        <f>CT77*VLOOKUP('Données projet'!$B$13,Paramètres!$A$1:$I$89,3,0)*VLOOKUP('Données projet'!$B$13,Paramètres!$A$1:$I$89,5,0)</f>
        <v>357.79536000000002</v>
      </c>
      <c r="CV77" s="14">
        <f t="shared" si="95"/>
        <v>83.165593184582121</v>
      </c>
      <c r="CW77" s="22">
        <f t="shared" si="67"/>
        <v>768.0069934631473</v>
      </c>
      <c r="CX77" s="60">
        <f t="shared" si="68"/>
        <v>1061.3403267964807</v>
      </c>
      <c r="CY77" s="60">
        <f ca="1">AVERAGE(OFFSET($CX$3,0,0,'Données projet'!$E$13+1,1))-AVERAGE(OFFSET($H$3,0,0,'Données projet'!$E$13+1,1))</f>
        <v>621.10465023992288</v>
      </c>
      <c r="CZ77" s="60">
        <f t="shared" si="96"/>
        <v>322.81767004794284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>
        <f>EXP(-LN(2)/35)*DF76+(1-EXP(-LN(2)/35))/(LN(2)/35)*DB77*DC77*VLOOKUP('Données projet'!$B$13,Paramètres!$A$1:$I$89,3,0)*0.475*44/12</f>
        <v>0</v>
      </c>
      <c r="DG77" s="23">
        <f>EXP(-LN(2)/25)*DG76+(1-EXP(-LN(2)/25))/(LN(2)/25)*Calculateur!DB77*Calculateur!DD77*VLOOKUP('Données projet'!$B$13,Paramètres!$A$1:$I$89,3,0)*0.475*44/12</f>
        <v>0</v>
      </c>
      <c r="DH77" s="23">
        <f>EXP(-LN(2)/2)*DH76+(1-EXP(-LN(2)/2))/(LN(2)/2)*DB77*DE77*VLOOKUP('Données projet'!$B$13,Paramètres!$A$1:$I$89,3,0)*0.475*44/12</f>
        <v>0</v>
      </c>
      <c r="DI77" s="24">
        <f t="shared" si="69"/>
        <v>0</v>
      </c>
      <c r="DJ77" s="77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7.6</v>
      </c>
      <c r="DO77" s="13">
        <f>IF('Données projet'!$A$166&gt;35,DO76+DN77-DW76,IF(A77&lt;'Données projet'!$A$166,$DL$205^A77,IF(A77='Données projet'!$A$166,'Données projet'!$B$166,DO76+DN77-DW76)))</f>
        <v>332.40000000000003</v>
      </c>
      <c r="DP77" s="18">
        <f>DO77*VLOOKUP('Données projet'!$B$14,Paramètres!$A$1:$I$89,3,0)*VLOOKUP('Données projet'!$B$14,Paramètres!$A$1:$I$89,5,0)</f>
        <v>321.49728000000005</v>
      </c>
      <c r="DQ77" s="14">
        <f t="shared" si="97"/>
        <v>75.664807195585155</v>
      </c>
      <c r="DR77" s="22">
        <f t="shared" si="70"/>
        <v>691.72396853231078</v>
      </c>
      <c r="DS77" s="60">
        <f t="shared" si="71"/>
        <v>985.05730186564415</v>
      </c>
      <c r="DT77" s="60">
        <f ca="1">AVERAGE(OFFSET($DS$3,0,0,'Données projet'!$E$14+1,1))-AVERAGE(OFFSET($H$3,0,0,'Données projet'!$E$14+1,1))</f>
        <v>562.69380557620775</v>
      </c>
      <c r="DU77" s="60">
        <f t="shared" si="98"/>
        <v>294.45557293177131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>
        <f>EXP(-LN(2)/35)*EA76+(1-EXP(-LN(2)/35))/(LN(2)/35)*DW77*DX77*VLOOKUP('Données projet'!$B$14,Paramètres!$A$1:$I$89,3,0)*0.475*44/12</f>
        <v>0</v>
      </c>
      <c r="EB77" s="23">
        <f>EXP(-LN(2)/25)*EB76+(1-EXP(-LN(2)/25))/(LN(2)/25)*Calculateur!DW77*Calculateur!DY77*VLOOKUP('Données projet'!$B$14,Paramètres!$A$1:$I$89,3,0)*0.475*44/12</f>
        <v>0</v>
      </c>
      <c r="EC77" s="23">
        <f>EXP(-LN(2)/2)*EC76+(1-EXP(-LN(2)/2))/(LN(2)/2)*DW77*DZ77*VLOOKUP('Données projet'!$B$14,Paramètres!$A$1:$I$89,3,0)*0.475*44/12</f>
        <v>0</v>
      </c>
      <c r="ED77" s="24">
        <f t="shared" si="72"/>
        <v>0</v>
      </c>
      <c r="EE77" s="77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1.1368683772161603E-13</v>
      </c>
      <c r="EK77" s="18">
        <f>EJ77*VLOOKUP('Données projet'!$B$15,Paramètres!$A$1:$I$89,3,0)*VLOOKUP('Données projet'!$B$15,Paramètres!$A$1:$I$89,5,0)</f>
        <v>8.8675733422860506E-14</v>
      </c>
      <c r="EL77" s="14">
        <f t="shared" si="99"/>
        <v>1.3509285393066301E-12</v>
      </c>
      <c r="EM77" s="22">
        <f t="shared" si="73"/>
        <v>2.5073107750038623E-12</v>
      </c>
      <c r="EN77" s="60">
        <f t="shared" si="74"/>
        <v>293.33333333333582</v>
      </c>
      <c r="EO77" s="60">
        <f ca="1">AVERAGE(OFFSET($EN$3,0,0,'Données projet'!$E$15+1,1))-AVERAGE(OFFSET($H$3,0,0,'Données projet'!$E$15+1,1))</f>
        <v>292.57482726862594</v>
      </c>
      <c r="EP77" s="60">
        <f t="shared" si="100"/>
        <v>283.48738729114024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>
        <f>EXP(-LN(2)/35)*EV76+(1-EXP(-LN(2)/35))/(LN(2)/35)*ER77*ES77*VLOOKUP('Données projet'!$B$15,Paramètres!$A$1:$I$89,3,0)*0.475*44/12</f>
        <v>0</v>
      </c>
      <c r="EW77" s="23">
        <f>EXP(-LN(2)/25)*EW76+(1-EXP(-LN(2)/25))/(LN(2)/25)*Calculateur!ER77*Calculateur!ET77*VLOOKUP('Données projet'!$B$15,Paramètres!$A$1:$I$89,3,0)*0.475*44/12</f>
        <v>0</v>
      </c>
      <c r="EX77" s="23">
        <f>EXP(-LN(2)/2)*EX76+(1-EXP(-LN(2)/2))/(LN(2)/2)*ER77*EU77*VLOOKUP('Données projet'!$B$15,Paramètres!$A$1:$I$89,3,0)*0.475*44/12</f>
        <v>0</v>
      </c>
      <c r="EY77" s="24">
        <f t="shared" si="75"/>
        <v>0</v>
      </c>
      <c r="EZ77" s="77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0" t="e">
        <f t="shared" si="77"/>
        <v>#N/A</v>
      </c>
      <c r="FJ77" s="60" t="e">
        <f ca="1">AVERAGE(OFFSET($FI$3,0,0,'Données projet'!$E$16+1,1))-AVERAGE(OFFSET($H$3,0,0,'Données projet'!$E$16+1,1))</f>
        <v>#N/A</v>
      </c>
      <c r="FK77" s="60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77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0" t="e">
        <f t="shared" si="80"/>
        <v>#N/A</v>
      </c>
      <c r="GE77" s="60" t="e">
        <f ca="1">AVERAGE(OFFSET($GD$3,0,0,'Données projet'!$E$17+1,1))-AVERAGE(OFFSET($H$3,0,0,'Données projet'!$E$17+1,1))</f>
        <v>#N/A</v>
      </c>
      <c r="GF77" s="60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77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0" t="e">
        <f t="shared" si="83"/>
        <v>#N/A</v>
      </c>
      <c r="GZ77" s="60" t="e">
        <f ca="1">AVERAGE(OFFSET($GY$3,0,0,'Données projet'!$E$18+1,1))-AVERAGE(OFFSET($H$3,0,0,'Données projet'!$E$18+1,1))</f>
        <v>#N/A</v>
      </c>
      <c r="HA77" s="60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25">
      <c r="A78" s="11">
        <f t="shared" si="85"/>
        <v>75</v>
      </c>
      <c r="B78" s="74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2">
        <f t="shared" si="86"/>
        <v>0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0</v>
      </c>
      <c r="H78" s="67">
        <f t="shared" si="56"/>
        <v>256.66666666666669</v>
      </c>
      <c r="I78" s="7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>
        <f>VLOOKUP(A78,'Données projet'!$A$35:$I$55,2,0)</f>
        <v>230.76923076923077</v>
      </c>
      <c r="L78" s="13">
        <f>VLOOKUP(A78,'Données projet'!$A$35:$I$55,9,0)</f>
        <v>4.4871794871794917</v>
      </c>
      <c r="M78" s="13">
        <f t="array" ref="M78">INDEX(L:L,MIN(IF(ISNUMBER(L78:L274),ROW(L78:L274),"")))</f>
        <v>4.4871794871794917</v>
      </c>
      <c r="N78" s="14">
        <f>IF('Données projet'!$A$36&gt;35,N77+M78-V77,IF(A78&lt;'Données projet'!$A$36,$K$205^A78,IF(A78='Données projet'!$A$36,'Données projet'!$B$36,N77+M78-V77)))</f>
        <v>230.7692307692308</v>
      </c>
      <c r="O78" s="14">
        <f>N78*VLOOKUP('Données projet'!$B$9,Paramètres!$A$1:$I$89,3,0)*VLOOKUP('Données projet'!$B$9,Paramètres!$A$1:$I$89,5,0)</f>
        <v>219.60000000000002</v>
      </c>
      <c r="P78" s="14">
        <f t="shared" si="87"/>
        <v>54.027938491064226</v>
      </c>
      <c r="Q78" s="22">
        <f t="shared" si="54"/>
        <v>476.56865953860353</v>
      </c>
      <c r="R78" s="60">
        <f t="shared" si="55"/>
        <v>769.90199287193684</v>
      </c>
      <c r="S78" s="60">
        <f ca="1">AVERAGE(OFFSET($R$3,0,0,'Données projet'!$E$9+1,1))-AVERAGE(OFFSET($H$3,0,0,'Données projet'!$E$9+1,1))</f>
        <v>403.49781966317852</v>
      </c>
      <c r="T78" s="60">
        <f t="shared" si="88"/>
        <v>326.06674572505409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0</v>
      </c>
      <c r="AA78" s="23">
        <f>EXP(-LN(2)/25)*AA77+(1-EXP(-LN(2)/25))/(LN(2)/25)*Calculateur!V78*Calculateur!X78*VLOOKUP('Données projet'!$B$9,Paramètres!$A$1:$I$89,3,0)*0.475*44/12</f>
        <v>0</v>
      </c>
      <c r="AB78" s="23">
        <f>EXP(-LN(2)/2)*AB77+(1-EXP(-LN(2)/2))/(LN(2)/2)*V78*Y78*VLOOKUP('Données projet'!$B$9,Paramètres!$A$1:$I$89,3,0)*0.475*44/12</f>
        <v>0</v>
      </c>
      <c r="AC78" s="24">
        <f t="shared" si="57"/>
        <v>0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>
        <f>VLOOKUP(A78,'Données projet'!$A$61:$I$81,2,0)</f>
        <v>222</v>
      </c>
      <c r="AG78" s="13">
        <f>VLOOKUP(A78,'Données projet'!$A$61:$I$81,9,0)</f>
        <v>2.6</v>
      </c>
      <c r="AH78" s="13">
        <f t="array" ref="AH78">INDEX(AG:AG,MIN(IF(ISNUMBER(AG78:AG274),ROW(AG78:AG274),"")))</f>
        <v>2.6</v>
      </c>
      <c r="AI78" s="14">
        <f>IF('Données projet'!$A$62&gt;35,AI77+AH78-AQ77,IF(A78&lt;'Données projet'!$A$62,$AF$205^A78,IF(A78='Données projet'!$A$62,'Données projet'!$B$62,AI77+AH78-AQ77)))</f>
        <v>221.99999999999986</v>
      </c>
      <c r="AJ78" s="14">
        <f>AI78*VLOOKUP('Données projet'!$B$10,Paramètres!$A$1:$I$89,3,0)*VLOOKUP('Données projet'!$B$10,Paramètres!$A$1:$I$89,5,0)</f>
        <v>193.93919999999991</v>
      </c>
      <c r="AK78" s="14">
        <f t="shared" si="89"/>
        <v>48.409811198069342</v>
      </c>
      <c r="AL78" s="22">
        <f t="shared" si="58"/>
        <v>422.091194503304</v>
      </c>
      <c r="AM78" s="60">
        <f t="shared" si="59"/>
        <v>715.42452783663725</v>
      </c>
      <c r="AN78" s="60">
        <f ca="1">AVERAGE(OFFSET($AM$3,0,0,'Données projet'!$E$10+1,1))-AVERAGE(OFFSET($H$3,0,0,'Données projet'!$E$10+1,1))</f>
        <v>274.66236526869056</v>
      </c>
      <c r="AO78" s="60">
        <f t="shared" si="90"/>
        <v>256.90876395053073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>
        <f>EXP(-LN(2)/35)*AU77+(1-EXP(-LN(2)/35))/(LN(2)/35)*AQ78*AR78*VLOOKUP('Données projet'!$B$10,Paramètres!$A$1:$I$89,3,0)*0.475*44/12</f>
        <v>0</v>
      </c>
      <c r="AV78" s="23">
        <f>EXP(-LN(2)/25)*AV77+(1-EXP(-LN(2)/25))/(LN(2)/25)*Calculateur!AQ78*Calculateur!AS78*VLOOKUP('Données projet'!$B$10,Paramètres!$A$1:$I$89,3,0)*0.475*44/12</f>
        <v>0</v>
      </c>
      <c r="AW78" s="23">
        <f>EXP(-LN(2)/2)*AW77+(1-EXP(-LN(2)/2))/(LN(2)/2)*AQ78*AT78*VLOOKUP('Données projet'!$B$10,Paramètres!$A$1:$I$89,3,0)*0.475*44/12</f>
        <v>0</v>
      </c>
      <c r="AX78" s="23">
        <f t="shared" si="60"/>
        <v>0</v>
      </c>
      <c r="AY78" s="76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>
        <f>VLOOKUP(A78,'Données projet'!$A$87:$I$107,2,0)</f>
        <v>340</v>
      </c>
      <c r="BB78" s="13">
        <f>VLOOKUP(A78,'Données projet'!$A$87:$I$107,9,0)</f>
        <v>7.6</v>
      </c>
      <c r="BC78" s="13">
        <f t="array" ref="BC78">INDEX(BB:BB,MIN(IF(ISNUMBER(BB78:BB274),ROW(BB78:BB274),"")))</f>
        <v>7.6</v>
      </c>
      <c r="BD78" s="13">
        <f>IF('Données projet'!$A$88&gt;35,BD77+BC78-BL77,IF(A78&lt;'Données projet'!$A$88,$BA$205^A78,IF(A78='Données projet'!$A$88,'Données projet'!$B$88,BD77+BC78-BL77)))</f>
        <v>340.00000000000006</v>
      </c>
      <c r="BE78" s="14">
        <f>BD78*VLOOKUP('Données projet'!$B$11,Paramètres!$A$1:$I$89,3,0)*VLOOKUP('Données projet'!$B$11,Paramètres!$A$1:$I$89,5,0)</f>
        <v>307.63200000000006</v>
      </c>
      <c r="BF78" s="14">
        <f t="shared" si="91"/>
        <v>72.774077039465567</v>
      </c>
      <c r="BG78" s="22">
        <f t="shared" si="61"/>
        <v>662.54058417706926</v>
      </c>
      <c r="BH78" s="60">
        <f t="shared" si="62"/>
        <v>955.87391751040263</v>
      </c>
      <c r="BI78" s="60">
        <f ca="1">AVERAGE(OFFSET($BH$3,0,0,'Données projet'!$E$11+1,1))-AVERAGE(OFFSET($H$3,0,0,'Données projet'!$E$11+1,1))</f>
        <v>529.25712986118265</v>
      </c>
      <c r="BJ78" s="60">
        <f t="shared" si="92"/>
        <v>278.21741231699929</v>
      </c>
      <c r="BK78" s="16">
        <f>IF(ISNA(VLOOKUP(A78,'Données projet'!$A$87:$I$107,3,0)),0,VLOOKUP(A78,'Données projet'!$A$87:$I$107,3,0))</f>
        <v>6</v>
      </c>
      <c r="BL78" s="16">
        <f>IF(ISNA(VLOOKUP(A78,'Données projet'!$A$87:$I$107,4,0)),0,VLOOKUP(A78,'Données projet'!$A$87:$I$107,4,0))</f>
        <v>56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>
        <f>EXP(-LN(2)/35)*BP77+(1-EXP(-LN(2)/35))/(LN(2)/35)*BL78*BM78*VLOOKUP('Données projet'!$B$11,Paramètres!$A$1:$I$89,3,0)*0.475*44/12</f>
        <v>0</v>
      </c>
      <c r="BQ78" s="23">
        <f>EXP(-LN(2)/25)*BQ77+(1-EXP(-LN(2)/25))/(LN(2)/25)*Calculateur!BL78*Calculateur!BN78*VLOOKUP('Données projet'!$B$11,Paramètres!$A$1:$I$89,3,0)*0.475*44/12</f>
        <v>0</v>
      </c>
      <c r="BR78" s="23">
        <f>EXP(-LN(2)/2)*BR77+(1-EXP(-LN(2)/2))/(LN(2)/2)*BL78*BO78*VLOOKUP('Données projet'!$B$11,Paramètres!$A$1:$I$89,3,0)*0.475*44/12</f>
        <v>0</v>
      </c>
      <c r="BS78" s="24">
        <f t="shared" si="63"/>
        <v>0</v>
      </c>
      <c r="BT78" s="77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>
        <f>VLOOKUP(A78,'Données projet'!$A$113:$I$133,2,0)</f>
        <v>340</v>
      </c>
      <c r="BW78" s="13">
        <f>VLOOKUP(A78,'Données projet'!$A$113:$I$133,9,0)</f>
        <v>7.6</v>
      </c>
      <c r="BX78" s="13">
        <f t="array" ref="BX78">INDEX(BW:BW,MIN(IF(ISNUMBER(BW78:BW274),ROW(BW78:BW274),"")))</f>
        <v>7.6</v>
      </c>
      <c r="BY78" s="13">
        <f>IF('Données projet'!$A$114&gt;35,BY77+BX78-CG77,IF(A78&lt;'Données projet'!$A$114,$BV$205^A78,IF(A78='Données projet'!$A$114,'Données projet'!$B$114,BY77+BX78-CG77)))</f>
        <v>340.00000000000006</v>
      </c>
      <c r="BZ78" s="14">
        <f>BY78*VLOOKUP('Données projet'!$B$12,Paramètres!$A$1:$I$89,3,0)*VLOOKUP('Données projet'!$B$12,Paramètres!$A$1:$I$89,5,0)</f>
        <v>344.7600000000001</v>
      </c>
      <c r="CA78" s="14">
        <f t="shared" si="93"/>
        <v>80.482595391170619</v>
      </c>
      <c r="CB78" s="22">
        <f t="shared" si="64"/>
        <v>740.63085363962227</v>
      </c>
      <c r="CC78" s="60">
        <f t="shared" si="65"/>
        <v>1033.9641869729555</v>
      </c>
      <c r="CD78" s="60">
        <f ca="1">AVERAGE(OFFSET($CC$3,0,0,'Données projet'!$E$12+1,1))-AVERAGE(OFFSET($H$3,0,0,'Données projet'!$E$12+1,1))</f>
        <v>587.74247372331615</v>
      </c>
      <c r="CE78" s="60">
        <f t="shared" si="94"/>
        <v>306.61893266146666</v>
      </c>
      <c r="CF78" s="16">
        <f>IF(ISNA(VLOOKUP(A78,'Données projet'!$A$113:$I$133,3,0)),0,VLOOKUP(A78,'Données projet'!$A$113:$I$133,3,0))</f>
        <v>6</v>
      </c>
      <c r="CG78" s="16">
        <f>IF(ISNA(VLOOKUP(A78,'Données projet'!$A$113:$I$133,4,0)),0,VLOOKUP(A78,'Données projet'!$A$113:$I$133,4,0))</f>
        <v>56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>
        <f>EXP(-LN(2)/35)*CK77+(1-EXP(-LN(2)/35))/(LN(2)/35)*CG78*CH78*VLOOKUP('Données projet'!$B$12,Paramètres!$A$1:$I$89,3,0)*0.475*44/12</f>
        <v>0</v>
      </c>
      <c r="CL78" s="23">
        <f>EXP(-LN(2)/25)*CL77+(1-EXP(-LN(2)/25))/(LN(2)/25)*Calculateur!CG78*Calculateur!CI78*VLOOKUP('Données projet'!$B$12,Paramètres!$A$1:$I$89,3,0)*0.475*44/12</f>
        <v>0</v>
      </c>
      <c r="CM78" s="23">
        <f>EXP(-LN(2)/2)*CM77+(1-EXP(-LN(2)/2))/(LN(2)/2)*CG78*CJ78*VLOOKUP('Données projet'!$B$12,Paramètres!$A$1:$I$89,3,0)*0.475*44/12</f>
        <v>0</v>
      </c>
      <c r="CN78" s="24">
        <f t="shared" si="66"/>
        <v>0</v>
      </c>
      <c r="CO78" s="77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>
        <f>VLOOKUP(A78,'Données projet'!$A$139:$I$159,2,0)</f>
        <v>340</v>
      </c>
      <c r="CR78" s="13">
        <f>VLOOKUP(A78,'Données projet'!$A$139:$I$159,9,0)</f>
        <v>7.6</v>
      </c>
      <c r="CS78" s="13">
        <f t="array" ref="CS78">INDEX(CR:CR,MIN(IF(ISNUMBER(CR78:CR274),ROW(CR78:CR274),"")))</f>
        <v>7.6</v>
      </c>
      <c r="CT78" s="13">
        <f>IF('Données projet'!$A$140&gt;35,CT77+CS78-DB77,IF(A78&lt;'Données projet'!$A$140,$CQ$205^A78,IF(A78='Données projet'!$A$140,'Données projet'!$B$140,CT77+CS78-DB77)))</f>
        <v>340.00000000000006</v>
      </c>
      <c r="CU78" s="18">
        <f>CT78*VLOOKUP('Données projet'!$B$13,Paramètres!$A$1:$I$89,3,0)*VLOOKUP('Données projet'!$B$13,Paramètres!$A$1:$I$89,5,0)</f>
        <v>365.97600000000006</v>
      </c>
      <c r="CV78" s="14">
        <f t="shared" si="95"/>
        <v>84.843541364532598</v>
      </c>
      <c r="CW78" s="22">
        <f t="shared" si="67"/>
        <v>785.17736787656111</v>
      </c>
      <c r="CX78" s="60">
        <f t="shared" si="68"/>
        <v>1078.5107012098945</v>
      </c>
      <c r="CY78" s="60">
        <f ca="1">AVERAGE(OFFSET($CX$3,0,0,'Données projet'!$E$13+1,1))-AVERAGE(OFFSET($H$3,0,0,'Données projet'!$E$13+1,1))</f>
        <v>621.10465023992288</v>
      </c>
      <c r="CZ78" s="60">
        <f t="shared" si="96"/>
        <v>322.81767004794284</v>
      </c>
      <c r="DA78" s="16">
        <f>IF(ISNA(VLOOKUP(A78,'Données projet'!$A$139:$I$159,3,0)),0,VLOOKUP(A78,'Données projet'!$A$139:$I$159,3,0))</f>
        <v>6</v>
      </c>
      <c r="DB78" s="16">
        <f>IF(ISNA(VLOOKUP(A78,'Données projet'!$A$139:$I$159,4,0)),0,VLOOKUP(A78,'Données projet'!$A$139:$I$159,4,0))</f>
        <v>56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>
        <f>EXP(-LN(2)/35)*DF77+(1-EXP(-LN(2)/35))/(LN(2)/35)*DB78*DC78*VLOOKUP('Données projet'!$B$13,Paramètres!$A$1:$I$89,3,0)*0.475*44/12</f>
        <v>0</v>
      </c>
      <c r="DG78" s="23">
        <f>EXP(-LN(2)/25)*DG77+(1-EXP(-LN(2)/25))/(LN(2)/25)*Calculateur!DB78*Calculateur!DD78*VLOOKUP('Données projet'!$B$13,Paramètres!$A$1:$I$89,3,0)*0.475*44/12</f>
        <v>0</v>
      </c>
      <c r="DH78" s="23">
        <f>EXP(-LN(2)/2)*DH77+(1-EXP(-LN(2)/2))/(LN(2)/2)*DB78*DE78*VLOOKUP('Données projet'!$B$13,Paramètres!$A$1:$I$89,3,0)*0.475*44/12</f>
        <v>0</v>
      </c>
      <c r="DI78" s="24">
        <f t="shared" si="69"/>
        <v>0</v>
      </c>
      <c r="DJ78" s="77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>
        <f>VLOOKUP(A78,'Données projet'!$A$165:$I$185,2,0)</f>
        <v>340</v>
      </c>
      <c r="DM78" s="13">
        <f>VLOOKUP(A78,'Données projet'!$A$165:$I$185,9,0)</f>
        <v>7.6</v>
      </c>
      <c r="DN78" s="13">
        <f t="array" ref="DN78">INDEX(DM:DM,MIN(IF(ISNUMBER(DM78:DM274),ROW(DM78:DM274),"")))</f>
        <v>7.6</v>
      </c>
      <c r="DO78" s="13">
        <f>IF('Données projet'!$A$166&gt;35,DO77+DN78-DW77,IF(A78&lt;'Données projet'!$A$166,$DL$205^A78,IF(A78='Données projet'!$A$166,'Données projet'!$B$166,DO77+DN78-DW77)))</f>
        <v>340.00000000000006</v>
      </c>
      <c r="DP78" s="18">
        <f>DO78*VLOOKUP('Données projet'!$B$14,Paramètres!$A$1:$I$89,3,0)*VLOOKUP('Données projet'!$B$14,Paramètres!$A$1:$I$89,5,0)</f>
        <v>328.84800000000007</v>
      </c>
      <c r="DQ78" s="14">
        <f t="shared" si="97"/>
        <v>77.191419592112595</v>
      </c>
      <c r="DR78" s="22">
        <f t="shared" si="70"/>
        <v>707.18532245626284</v>
      </c>
      <c r="DS78" s="60">
        <f t="shared" si="71"/>
        <v>1000.5186557895961</v>
      </c>
      <c r="DT78" s="60">
        <f ca="1">AVERAGE(OFFSET($DS$3,0,0,'Données projet'!$E$14+1,1))-AVERAGE(OFFSET($H$3,0,0,'Données projet'!$E$14+1,1))</f>
        <v>562.69380557620775</v>
      </c>
      <c r="DU78" s="60">
        <f t="shared" si="98"/>
        <v>294.45557293177131</v>
      </c>
      <c r="DV78" s="16">
        <f>IF(ISNA(VLOOKUP(A78,'Données projet'!$A$165:$I$185,3,0)),0,VLOOKUP(A78,'Données projet'!$A$165:$I$185,3,0))</f>
        <v>6</v>
      </c>
      <c r="DW78" s="16">
        <f>IF(ISNA(VLOOKUP(A78,'Données projet'!$A$165:$I$185,4,0)),0,VLOOKUP(A78,'Données projet'!$A$165:$I$185,4,0))</f>
        <v>56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>
        <f>EXP(-LN(2)/35)*EA77+(1-EXP(-LN(2)/35))/(LN(2)/35)*DW78*DX78*VLOOKUP('Données projet'!$B$14,Paramètres!$A$1:$I$89,3,0)*0.475*44/12</f>
        <v>0</v>
      </c>
      <c r="EB78" s="23">
        <f>EXP(-LN(2)/25)*EB77+(1-EXP(-LN(2)/25))/(LN(2)/25)*Calculateur!DW78*Calculateur!DY78*VLOOKUP('Données projet'!$B$14,Paramètres!$A$1:$I$89,3,0)*0.475*44/12</f>
        <v>0</v>
      </c>
      <c r="EC78" s="23">
        <f>EXP(-LN(2)/2)*EC77+(1-EXP(-LN(2)/2))/(LN(2)/2)*DW78*DZ78*VLOOKUP('Données projet'!$B$14,Paramètres!$A$1:$I$89,3,0)*0.475*44/12</f>
        <v>0</v>
      </c>
      <c r="ED78" s="24">
        <f t="shared" si="72"/>
        <v>0</v>
      </c>
      <c r="EE78" s="77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1.1368683772161603E-13</v>
      </c>
      <c r="EK78" s="18">
        <f>EJ78*VLOOKUP('Données projet'!$B$15,Paramètres!$A$1:$I$89,3,0)*VLOOKUP('Données projet'!$B$15,Paramètres!$A$1:$I$89,5,0)</f>
        <v>8.8675733422860506E-14</v>
      </c>
      <c r="EL78" s="14">
        <f t="shared" si="99"/>
        <v>1.3509285393066301E-12</v>
      </c>
      <c r="EM78" s="22">
        <f t="shared" si="73"/>
        <v>2.5073107750038623E-12</v>
      </c>
      <c r="EN78" s="60">
        <f t="shared" si="74"/>
        <v>293.33333333333582</v>
      </c>
      <c r="EO78" s="60">
        <f ca="1">AVERAGE(OFFSET($EN$3,0,0,'Données projet'!$E$15+1,1))-AVERAGE(OFFSET($H$3,0,0,'Données projet'!$E$15+1,1))</f>
        <v>292.57482726862594</v>
      </c>
      <c r="EP78" s="60">
        <f t="shared" si="100"/>
        <v>283.48738729114024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>
        <f>EXP(-LN(2)/35)*EV77+(1-EXP(-LN(2)/35))/(LN(2)/35)*ER78*ES78*VLOOKUP('Données projet'!$B$15,Paramètres!$A$1:$I$89,3,0)*0.475*44/12</f>
        <v>0</v>
      </c>
      <c r="EW78" s="23">
        <f>EXP(-LN(2)/25)*EW77+(1-EXP(-LN(2)/25))/(LN(2)/25)*Calculateur!ER78*Calculateur!ET78*VLOOKUP('Données projet'!$B$15,Paramètres!$A$1:$I$89,3,0)*0.475*44/12</f>
        <v>0</v>
      </c>
      <c r="EX78" s="23">
        <f>EXP(-LN(2)/2)*EX77+(1-EXP(-LN(2)/2))/(LN(2)/2)*ER78*EU78*VLOOKUP('Données projet'!$B$15,Paramètres!$A$1:$I$89,3,0)*0.475*44/12</f>
        <v>0</v>
      </c>
      <c r="EY78" s="24">
        <f t="shared" si="75"/>
        <v>0</v>
      </c>
      <c r="EZ78" s="77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0" t="e">
        <f t="shared" si="77"/>
        <v>#N/A</v>
      </c>
      <c r="FJ78" s="60" t="e">
        <f ca="1">AVERAGE(OFFSET($FI$3,0,0,'Données projet'!$E$16+1,1))-AVERAGE(OFFSET($H$3,0,0,'Données projet'!$E$16+1,1))</f>
        <v>#N/A</v>
      </c>
      <c r="FK78" s="60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77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0" t="e">
        <f t="shared" si="80"/>
        <v>#N/A</v>
      </c>
      <c r="GE78" s="60" t="e">
        <f ca="1">AVERAGE(OFFSET($GD$3,0,0,'Données projet'!$E$17+1,1))-AVERAGE(OFFSET($H$3,0,0,'Données projet'!$E$17+1,1))</f>
        <v>#N/A</v>
      </c>
      <c r="GF78" s="60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77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0" t="e">
        <f t="shared" si="83"/>
        <v>#N/A</v>
      </c>
      <c r="GZ78" s="60" t="e">
        <f ca="1">AVERAGE(OFFSET($GY$3,0,0,'Données projet'!$E$18+1,1))-AVERAGE(OFFSET($H$3,0,0,'Données projet'!$E$18+1,1))</f>
        <v>#N/A</v>
      </c>
      <c r="HA78" s="60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25">
      <c r="A79" s="11">
        <f t="shared" si="85"/>
        <v>76</v>
      </c>
      <c r="B79" s="74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2">
        <f t="shared" si="86"/>
        <v>0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0</v>
      </c>
      <c r="H79" s="67">
        <f t="shared" si="56"/>
        <v>256.66666666666669</v>
      </c>
      <c r="I79" s="7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4.3589743589743595</v>
      </c>
      <c r="N79" s="14">
        <f>IF('Données projet'!$A$36&gt;35,N78+M79-V78,IF(A79&lt;'Données projet'!$A$36,$K$205^A79,IF(A79='Données projet'!$A$36,'Données projet'!$B$36,N78+M79-V78)))</f>
        <v>235.12820512820517</v>
      </c>
      <c r="O79" s="14">
        <f>N79*VLOOKUP('Données projet'!$B$9,Paramètres!$A$1:$I$89,3,0)*VLOOKUP('Données projet'!$B$9,Paramètres!$A$1:$I$89,5,0)</f>
        <v>223.74800000000005</v>
      </c>
      <c r="P79" s="14">
        <f t="shared" si="87"/>
        <v>54.928692378995677</v>
      </c>
      <c r="Q79" s="22">
        <f t="shared" si="54"/>
        <v>485.36190589341754</v>
      </c>
      <c r="R79" s="60">
        <f t="shared" si="55"/>
        <v>778.6952392267508</v>
      </c>
      <c r="S79" s="60">
        <f ca="1">AVERAGE(OFFSET($R$3,0,0,'Données projet'!$E$9+1,1))-AVERAGE(OFFSET($H$3,0,0,'Données projet'!$E$9+1,1))</f>
        <v>403.49781966317852</v>
      </c>
      <c r="T79" s="60">
        <f t="shared" si="88"/>
        <v>326.06674572505409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0</v>
      </c>
      <c r="AA79" s="23">
        <f>EXP(-LN(2)/25)*AA78+(1-EXP(-LN(2)/25))/(LN(2)/25)*Calculateur!V79*Calculateur!X79*VLOOKUP('Données projet'!$B$9,Paramètres!$A$1:$I$89,3,0)*0.475*44/12</f>
        <v>0</v>
      </c>
      <c r="AB79" s="23">
        <f>EXP(-LN(2)/2)*AB78+(1-EXP(-LN(2)/2))/(LN(2)/2)*V79*Y79*VLOOKUP('Données projet'!$B$9,Paramètres!$A$1:$I$89,3,0)*0.475*44/12</f>
        <v>0</v>
      </c>
      <c r="AC79" s="24">
        <f t="shared" si="57"/>
        <v>0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2.4</v>
      </c>
      <c r="AI79" s="14">
        <f>IF('Données projet'!$A$62&gt;35,AI78+AH79-AQ78,IF(A79&lt;'Données projet'!$A$62,$AF$205^A79,IF(A79='Données projet'!$A$62,'Données projet'!$B$62,AI78+AH79-AQ78)))</f>
        <v>224.39999999999986</v>
      </c>
      <c r="AJ79" s="14">
        <f>AI79*VLOOKUP('Données projet'!$B$10,Paramètres!$A$1:$I$89,3,0)*VLOOKUP('Données projet'!$B$10,Paramètres!$A$1:$I$89,5,0)</f>
        <v>196.03583999999989</v>
      </c>
      <c r="AK79" s="14">
        <f t="shared" si="89"/>
        <v>48.871952855623412</v>
      </c>
      <c r="AL79" s="22">
        <f t="shared" si="58"/>
        <v>426.54773922354394</v>
      </c>
      <c r="AM79" s="60">
        <f t="shared" si="59"/>
        <v>719.88107255687726</v>
      </c>
      <c r="AN79" s="60">
        <f ca="1">AVERAGE(OFFSET($AM$3,0,0,'Données projet'!$E$10+1,1))-AVERAGE(OFFSET($H$3,0,0,'Données projet'!$E$10+1,1))</f>
        <v>274.66236526869056</v>
      </c>
      <c r="AO79" s="60">
        <f t="shared" si="90"/>
        <v>256.90876395053073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>
        <f>EXP(-LN(2)/35)*AU78+(1-EXP(-LN(2)/35))/(LN(2)/35)*AQ79*AR79*VLOOKUP('Données projet'!$B$10,Paramètres!$A$1:$I$89,3,0)*0.475*44/12</f>
        <v>0</v>
      </c>
      <c r="AV79" s="23">
        <f>EXP(-LN(2)/25)*AV78+(1-EXP(-LN(2)/25))/(LN(2)/25)*Calculateur!AQ79*Calculateur!AS79*VLOOKUP('Données projet'!$B$10,Paramètres!$A$1:$I$89,3,0)*0.475*44/12</f>
        <v>0</v>
      </c>
      <c r="AW79" s="23">
        <f>EXP(-LN(2)/2)*AW78+(1-EXP(-LN(2)/2))/(LN(2)/2)*AQ79*AT79*VLOOKUP('Données projet'!$B$10,Paramètres!$A$1:$I$89,3,0)*0.475*44/12</f>
        <v>0</v>
      </c>
      <c r="AX79" s="23">
        <f t="shared" si="60"/>
        <v>0</v>
      </c>
      <c r="AY79" s="76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7.2</v>
      </c>
      <c r="BD79" s="13">
        <f>IF('Données projet'!$A$88&gt;35,BD78+BC79-BL78,IF(A79&lt;'Données projet'!$A$88,$BA$205^A79,IF(A79='Données projet'!$A$88,'Données projet'!$B$88,BD78+BC79-BL78)))</f>
        <v>291.20000000000005</v>
      </c>
      <c r="BE79" s="14">
        <f>BD79*VLOOKUP('Données projet'!$B$11,Paramètres!$A$1:$I$89,3,0)*VLOOKUP('Données projet'!$B$11,Paramètres!$A$1:$I$89,5,0)</f>
        <v>263.47776000000005</v>
      </c>
      <c r="BF79" s="14">
        <f t="shared" si="91"/>
        <v>63.46312159763346</v>
      </c>
      <c r="BG79" s="22">
        <f t="shared" si="61"/>
        <v>569.42203544921165</v>
      </c>
      <c r="BH79" s="60">
        <f t="shared" si="62"/>
        <v>862.75536878254502</v>
      </c>
      <c r="BI79" s="60">
        <f ca="1">AVERAGE(OFFSET($BH$3,0,0,'Données projet'!$E$11+1,1))-AVERAGE(OFFSET($H$3,0,0,'Données projet'!$E$11+1,1))</f>
        <v>529.25712986118265</v>
      </c>
      <c r="BJ79" s="60">
        <f t="shared" si="92"/>
        <v>278.21741231699929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>
        <f>EXP(-LN(2)/35)*BP78+(1-EXP(-LN(2)/35))/(LN(2)/35)*BL79*BM79*VLOOKUP('Données projet'!$B$11,Paramètres!$A$1:$I$89,3,0)*0.475*44/12</f>
        <v>0</v>
      </c>
      <c r="BQ79" s="23">
        <f>EXP(-LN(2)/25)*BQ78+(1-EXP(-LN(2)/25))/(LN(2)/25)*Calculateur!BL79*Calculateur!BN79*VLOOKUP('Données projet'!$B$11,Paramètres!$A$1:$I$89,3,0)*0.475*44/12</f>
        <v>0</v>
      </c>
      <c r="BR79" s="23">
        <f>EXP(-LN(2)/2)*BR78+(1-EXP(-LN(2)/2))/(LN(2)/2)*BL79*BO79*VLOOKUP('Données projet'!$B$11,Paramètres!$A$1:$I$89,3,0)*0.475*44/12</f>
        <v>0</v>
      </c>
      <c r="BS79" s="24">
        <f t="shared" si="63"/>
        <v>0</v>
      </c>
      <c r="BT79" s="77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7.2</v>
      </c>
      <c r="BY79" s="13">
        <f>IF('Données projet'!$A$114&gt;35,BY78+BX79-CG78,IF(A79&lt;'Données projet'!$A$114,$BV$205^A79,IF(A79='Données projet'!$A$114,'Données projet'!$B$114,BY78+BX79-CG78)))</f>
        <v>291.20000000000005</v>
      </c>
      <c r="BZ79" s="14">
        <f>BY79*VLOOKUP('Données projet'!$B$12,Paramètres!$A$1:$I$89,3,0)*VLOOKUP('Données projet'!$B$12,Paramètres!$A$1:$I$89,5,0)</f>
        <v>295.27680000000004</v>
      </c>
      <c r="CA79" s="14">
        <f t="shared" si="93"/>
        <v>70.185386686980493</v>
      </c>
      <c r="CB79" s="22">
        <f t="shared" si="64"/>
        <v>636.51330847982445</v>
      </c>
      <c r="CC79" s="60">
        <f t="shared" si="65"/>
        <v>929.8466418131577</v>
      </c>
      <c r="CD79" s="60">
        <f ca="1">AVERAGE(OFFSET($CC$3,0,0,'Données projet'!$E$12+1,1))-AVERAGE(OFFSET($H$3,0,0,'Données projet'!$E$12+1,1))</f>
        <v>587.74247372331615</v>
      </c>
      <c r="CE79" s="60">
        <f t="shared" si="94"/>
        <v>306.61893266146666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>
        <f>EXP(-LN(2)/35)*CK78+(1-EXP(-LN(2)/35))/(LN(2)/35)*CG79*CH79*VLOOKUP('Données projet'!$B$12,Paramètres!$A$1:$I$89,3,0)*0.475*44/12</f>
        <v>0</v>
      </c>
      <c r="CL79" s="23">
        <f>EXP(-LN(2)/25)*CL78+(1-EXP(-LN(2)/25))/(LN(2)/25)*Calculateur!CG79*Calculateur!CI79*VLOOKUP('Données projet'!$B$12,Paramètres!$A$1:$I$89,3,0)*0.475*44/12</f>
        <v>0</v>
      </c>
      <c r="CM79" s="23">
        <f>EXP(-LN(2)/2)*CM78+(1-EXP(-LN(2)/2))/(LN(2)/2)*CG79*CJ79*VLOOKUP('Données projet'!$B$12,Paramètres!$A$1:$I$89,3,0)*0.475*44/12</f>
        <v>0</v>
      </c>
      <c r="CN79" s="24">
        <f t="shared" si="66"/>
        <v>0</v>
      </c>
      <c r="CO79" s="77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7.2</v>
      </c>
      <c r="CT79" s="13">
        <f>IF('Données projet'!$A$140&gt;35,CT78+CS79-DB78,IF(A79&lt;'Données projet'!$A$140,$CQ$205^A79,IF(A79='Données projet'!$A$140,'Données projet'!$B$140,CT78+CS79-DB78)))</f>
        <v>291.20000000000005</v>
      </c>
      <c r="CU79" s="18">
        <f>CT79*VLOOKUP('Données projet'!$B$13,Paramètres!$A$1:$I$89,3,0)*VLOOKUP('Données projet'!$B$13,Paramètres!$A$1:$I$89,5,0)</f>
        <v>313.44768000000005</v>
      </c>
      <c r="CV79" s="14">
        <f t="shared" si="95"/>
        <v>73.988378849122171</v>
      </c>
      <c r="CW79" s="22">
        <f t="shared" si="67"/>
        <v>674.78446916222117</v>
      </c>
      <c r="CX79" s="60">
        <f t="shared" si="68"/>
        <v>968.11780249555454</v>
      </c>
      <c r="CY79" s="60">
        <f ca="1">AVERAGE(OFFSET($CX$3,0,0,'Données projet'!$E$13+1,1))-AVERAGE(OFFSET($H$3,0,0,'Données projet'!$E$13+1,1))</f>
        <v>621.10465023992288</v>
      </c>
      <c r="CZ79" s="60">
        <f t="shared" si="96"/>
        <v>322.81767004794284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>
        <f>EXP(-LN(2)/35)*DF78+(1-EXP(-LN(2)/35))/(LN(2)/35)*DB79*DC79*VLOOKUP('Données projet'!$B$13,Paramètres!$A$1:$I$89,3,0)*0.475*44/12</f>
        <v>0</v>
      </c>
      <c r="DG79" s="23">
        <f>EXP(-LN(2)/25)*DG78+(1-EXP(-LN(2)/25))/(LN(2)/25)*Calculateur!DB79*Calculateur!DD79*VLOOKUP('Données projet'!$B$13,Paramètres!$A$1:$I$89,3,0)*0.475*44/12</f>
        <v>0</v>
      </c>
      <c r="DH79" s="23">
        <f>EXP(-LN(2)/2)*DH78+(1-EXP(-LN(2)/2))/(LN(2)/2)*DB79*DE79*VLOOKUP('Données projet'!$B$13,Paramètres!$A$1:$I$89,3,0)*0.475*44/12</f>
        <v>0</v>
      </c>
      <c r="DI79" s="24">
        <f t="shared" si="69"/>
        <v>0</v>
      </c>
      <c r="DJ79" s="77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7.2</v>
      </c>
      <c r="DO79" s="13">
        <f>IF('Données projet'!$A$166&gt;35,DO78+DN79-DW78,IF(A79&lt;'Données projet'!$A$166,$DL$205^A79,IF(A79='Données projet'!$A$166,'Données projet'!$B$166,DO78+DN79-DW78)))</f>
        <v>291.20000000000005</v>
      </c>
      <c r="DP79" s="18">
        <f>DO79*VLOOKUP('Données projet'!$B$14,Paramètres!$A$1:$I$89,3,0)*VLOOKUP('Données projet'!$B$14,Paramètres!$A$1:$I$89,5,0)</f>
        <v>281.64864000000006</v>
      </c>
      <c r="DQ79" s="14">
        <f t="shared" si="97"/>
        <v>67.315294774697747</v>
      </c>
      <c r="DR79" s="22">
        <f t="shared" si="70"/>
        <v>607.77885306593191</v>
      </c>
      <c r="DS79" s="60">
        <f t="shared" si="71"/>
        <v>901.11218639926528</v>
      </c>
      <c r="DT79" s="60">
        <f ca="1">AVERAGE(OFFSET($DS$3,0,0,'Données projet'!$E$14+1,1))-AVERAGE(OFFSET($H$3,0,0,'Données projet'!$E$14+1,1))</f>
        <v>562.69380557620775</v>
      </c>
      <c r="DU79" s="60">
        <f t="shared" si="98"/>
        <v>294.45557293177131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>
        <f>EXP(-LN(2)/35)*EA78+(1-EXP(-LN(2)/35))/(LN(2)/35)*DW79*DX79*VLOOKUP('Données projet'!$B$14,Paramètres!$A$1:$I$89,3,0)*0.475*44/12</f>
        <v>0</v>
      </c>
      <c r="EB79" s="23">
        <f>EXP(-LN(2)/25)*EB78+(1-EXP(-LN(2)/25))/(LN(2)/25)*Calculateur!DW79*Calculateur!DY79*VLOOKUP('Données projet'!$B$14,Paramètres!$A$1:$I$89,3,0)*0.475*44/12</f>
        <v>0</v>
      </c>
      <c r="EC79" s="23">
        <f>EXP(-LN(2)/2)*EC78+(1-EXP(-LN(2)/2))/(LN(2)/2)*DW79*DZ79*VLOOKUP('Données projet'!$B$14,Paramètres!$A$1:$I$89,3,0)*0.475*44/12</f>
        <v>0</v>
      </c>
      <c r="ED79" s="24">
        <f t="shared" si="72"/>
        <v>0</v>
      </c>
      <c r="EE79" s="77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1.1368683772161603E-13</v>
      </c>
      <c r="EK79" s="18">
        <f>EJ79*VLOOKUP('Données projet'!$B$15,Paramètres!$A$1:$I$89,3,0)*VLOOKUP('Données projet'!$B$15,Paramètres!$A$1:$I$89,5,0)</f>
        <v>8.8675733422860506E-14</v>
      </c>
      <c r="EL79" s="14">
        <f t="shared" si="99"/>
        <v>1.3509285393066301E-12</v>
      </c>
      <c r="EM79" s="22">
        <f t="shared" si="73"/>
        <v>2.5073107750038623E-12</v>
      </c>
      <c r="EN79" s="60">
        <f t="shared" si="74"/>
        <v>293.33333333333582</v>
      </c>
      <c r="EO79" s="60">
        <f ca="1">AVERAGE(OFFSET($EN$3,0,0,'Données projet'!$E$15+1,1))-AVERAGE(OFFSET($H$3,0,0,'Données projet'!$E$15+1,1))</f>
        <v>292.57482726862594</v>
      </c>
      <c r="EP79" s="60">
        <f t="shared" si="100"/>
        <v>283.48738729114024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>
        <f>EXP(-LN(2)/35)*EV78+(1-EXP(-LN(2)/35))/(LN(2)/35)*ER79*ES79*VLOOKUP('Données projet'!$B$15,Paramètres!$A$1:$I$89,3,0)*0.475*44/12</f>
        <v>0</v>
      </c>
      <c r="EW79" s="23">
        <f>EXP(-LN(2)/25)*EW78+(1-EXP(-LN(2)/25))/(LN(2)/25)*Calculateur!ER79*Calculateur!ET79*VLOOKUP('Données projet'!$B$15,Paramètres!$A$1:$I$89,3,0)*0.475*44/12</f>
        <v>0</v>
      </c>
      <c r="EX79" s="23">
        <f>EXP(-LN(2)/2)*EX78+(1-EXP(-LN(2)/2))/(LN(2)/2)*ER79*EU79*VLOOKUP('Données projet'!$B$15,Paramètres!$A$1:$I$89,3,0)*0.475*44/12</f>
        <v>0</v>
      </c>
      <c r="EY79" s="24">
        <f t="shared" si="75"/>
        <v>0</v>
      </c>
      <c r="EZ79" s="77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0" t="e">
        <f t="shared" si="77"/>
        <v>#N/A</v>
      </c>
      <c r="FJ79" s="60" t="e">
        <f ca="1">AVERAGE(OFFSET($FI$3,0,0,'Données projet'!$E$16+1,1))-AVERAGE(OFFSET($H$3,0,0,'Données projet'!$E$16+1,1))</f>
        <v>#N/A</v>
      </c>
      <c r="FK79" s="60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77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0" t="e">
        <f t="shared" si="80"/>
        <v>#N/A</v>
      </c>
      <c r="GE79" s="60" t="e">
        <f ca="1">AVERAGE(OFFSET($GD$3,0,0,'Données projet'!$E$17+1,1))-AVERAGE(OFFSET($H$3,0,0,'Données projet'!$E$17+1,1))</f>
        <v>#N/A</v>
      </c>
      <c r="GF79" s="60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77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0" t="e">
        <f t="shared" si="83"/>
        <v>#N/A</v>
      </c>
      <c r="GZ79" s="60" t="e">
        <f ca="1">AVERAGE(OFFSET($GY$3,0,0,'Données projet'!$E$18+1,1))-AVERAGE(OFFSET($H$3,0,0,'Données projet'!$E$18+1,1))</f>
        <v>#N/A</v>
      </c>
      <c r="HA79" s="60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25">
      <c r="A80" s="11">
        <f t="shared" si="85"/>
        <v>77</v>
      </c>
      <c r="B80" s="74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2">
        <f t="shared" si="86"/>
        <v>0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0</v>
      </c>
      <c r="H80" s="67">
        <f t="shared" si="56"/>
        <v>256.66666666666669</v>
      </c>
      <c r="I80" s="7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4.3589743589743595</v>
      </c>
      <c r="N80" s="14">
        <f>IF('Données projet'!$A$36&gt;35,N79+M80-V79,IF(A80&lt;'Données projet'!$A$36,$K$205^A80,IF(A80='Données projet'!$A$36,'Données projet'!$B$36,N79+M80-V79)))</f>
        <v>239.48717948717953</v>
      </c>
      <c r="O80" s="14">
        <f>N80*VLOOKUP('Données projet'!$B$9,Paramètres!$A$1:$I$89,3,0)*VLOOKUP('Données projet'!$B$9,Paramètres!$A$1:$I$89,5,0)</f>
        <v>227.89600000000002</v>
      </c>
      <c r="P80" s="14">
        <f t="shared" si="87"/>
        <v>55.827504502630809</v>
      </c>
      <c r="Q80" s="22">
        <f t="shared" si="54"/>
        <v>494.15177034208205</v>
      </c>
      <c r="R80" s="60">
        <f t="shared" si="55"/>
        <v>787.4851036754153</v>
      </c>
      <c r="S80" s="60">
        <f ca="1">AVERAGE(OFFSET($R$3,0,0,'Données projet'!$E$9+1,1))-AVERAGE(OFFSET($H$3,0,0,'Données projet'!$E$9+1,1))</f>
        <v>403.49781966317852</v>
      </c>
      <c r="T80" s="60">
        <f t="shared" si="88"/>
        <v>326.06674572505409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0</v>
      </c>
      <c r="AA80" s="23">
        <f>EXP(-LN(2)/25)*AA79+(1-EXP(-LN(2)/25))/(LN(2)/25)*Calculateur!V80*Calculateur!X80*VLOOKUP('Données projet'!$B$9,Paramètres!$A$1:$I$89,3,0)*0.475*44/12</f>
        <v>0</v>
      </c>
      <c r="AB80" s="23">
        <f>EXP(-LN(2)/2)*AB79+(1-EXP(-LN(2)/2))/(LN(2)/2)*V80*Y80*VLOOKUP('Données projet'!$B$9,Paramètres!$A$1:$I$89,3,0)*0.475*44/12</f>
        <v>0</v>
      </c>
      <c r="AC80" s="24">
        <f t="shared" si="57"/>
        <v>0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2.4</v>
      </c>
      <c r="AI80" s="14">
        <f>IF('Données projet'!$A$62&gt;35,AI79+AH80-AQ79,IF(A80&lt;'Données projet'!$A$62,$AF$205^A80,IF(A80='Données projet'!$A$62,'Données projet'!$B$62,AI79+AH80-AQ79)))</f>
        <v>226.79999999999987</v>
      </c>
      <c r="AJ80" s="14">
        <f>AI80*VLOOKUP('Données projet'!$B$10,Paramètres!$A$1:$I$89,3,0)*VLOOKUP('Données projet'!$B$10,Paramètres!$A$1:$I$89,5,0)</f>
        <v>198.1324799999999</v>
      </c>
      <c r="AK80" s="14">
        <f t="shared" si="89"/>
        <v>49.333519530262052</v>
      </c>
      <c r="AL80" s="22">
        <f t="shared" si="58"/>
        <v>431.00328251520631</v>
      </c>
      <c r="AM80" s="60">
        <f t="shared" si="59"/>
        <v>724.33661584853962</v>
      </c>
      <c r="AN80" s="60">
        <f ca="1">AVERAGE(OFFSET($AM$3,0,0,'Données projet'!$E$10+1,1))-AVERAGE(OFFSET($H$3,0,0,'Données projet'!$E$10+1,1))</f>
        <v>274.66236526869056</v>
      </c>
      <c r="AO80" s="60">
        <f t="shared" si="90"/>
        <v>256.90876395053073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>
        <f>EXP(-LN(2)/35)*AU79+(1-EXP(-LN(2)/35))/(LN(2)/35)*AQ80*AR80*VLOOKUP('Données projet'!$B$10,Paramètres!$A$1:$I$89,3,0)*0.475*44/12</f>
        <v>0</v>
      </c>
      <c r="AV80" s="23">
        <f>EXP(-LN(2)/25)*AV79+(1-EXP(-LN(2)/25))/(LN(2)/25)*Calculateur!AQ80*Calculateur!AS80*VLOOKUP('Données projet'!$B$10,Paramètres!$A$1:$I$89,3,0)*0.475*44/12</f>
        <v>0</v>
      </c>
      <c r="AW80" s="23">
        <f>EXP(-LN(2)/2)*AW79+(1-EXP(-LN(2)/2))/(LN(2)/2)*AQ80*AT80*VLOOKUP('Données projet'!$B$10,Paramètres!$A$1:$I$89,3,0)*0.475*44/12</f>
        <v>0</v>
      </c>
      <c r="AX80" s="23">
        <f t="shared" si="60"/>
        <v>0</v>
      </c>
      <c r="AY80" s="76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7.2</v>
      </c>
      <c r="BD80" s="13">
        <f>IF('Données projet'!$A$88&gt;35,BD79+BC80-BL79,IF(A80&lt;'Données projet'!$A$88,$BA$205^A80,IF(A80='Données projet'!$A$88,'Données projet'!$B$88,BD79+BC80-BL79)))</f>
        <v>298.40000000000003</v>
      </c>
      <c r="BE80" s="14">
        <f>BD80*VLOOKUP('Données projet'!$B$11,Paramètres!$A$1:$I$89,3,0)*VLOOKUP('Données projet'!$B$11,Paramètres!$A$1:$I$89,5,0)</f>
        <v>269.99232000000001</v>
      </c>
      <c r="BF80" s="14">
        <f t="shared" si="91"/>
        <v>64.847639395310296</v>
      </c>
      <c r="BG80" s="22">
        <f t="shared" si="61"/>
        <v>583.17959594683214</v>
      </c>
      <c r="BH80" s="60">
        <f t="shared" si="62"/>
        <v>876.51292928016551</v>
      </c>
      <c r="BI80" s="60">
        <f ca="1">AVERAGE(OFFSET($BH$3,0,0,'Données projet'!$E$11+1,1))-AVERAGE(OFFSET($H$3,0,0,'Données projet'!$E$11+1,1))</f>
        <v>529.25712986118265</v>
      </c>
      <c r="BJ80" s="60">
        <f t="shared" si="92"/>
        <v>278.21741231699929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>
        <f>EXP(-LN(2)/35)*BP79+(1-EXP(-LN(2)/35))/(LN(2)/35)*BL80*BM80*VLOOKUP('Données projet'!$B$11,Paramètres!$A$1:$I$89,3,0)*0.475*44/12</f>
        <v>0</v>
      </c>
      <c r="BQ80" s="23">
        <f>EXP(-LN(2)/25)*BQ79+(1-EXP(-LN(2)/25))/(LN(2)/25)*Calculateur!BL80*Calculateur!BN80*VLOOKUP('Données projet'!$B$11,Paramètres!$A$1:$I$89,3,0)*0.475*44/12</f>
        <v>0</v>
      </c>
      <c r="BR80" s="23">
        <f>EXP(-LN(2)/2)*BR79+(1-EXP(-LN(2)/2))/(LN(2)/2)*BL80*BO80*VLOOKUP('Données projet'!$B$11,Paramètres!$A$1:$I$89,3,0)*0.475*44/12</f>
        <v>0</v>
      </c>
      <c r="BS80" s="24">
        <f t="shared" si="63"/>
        <v>0</v>
      </c>
      <c r="BT80" s="77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7.2</v>
      </c>
      <c r="BY80" s="13">
        <f>IF('Données projet'!$A$114&gt;35,BY79+BX80-CG79,IF(A80&lt;'Données projet'!$A$114,$BV$205^A80,IF(A80='Données projet'!$A$114,'Données projet'!$B$114,BY79+BX80-CG79)))</f>
        <v>298.40000000000003</v>
      </c>
      <c r="BZ80" s="14">
        <f>BY80*VLOOKUP('Données projet'!$B$12,Paramètres!$A$1:$I$89,3,0)*VLOOKUP('Données projet'!$B$12,Paramètres!$A$1:$I$89,5,0)</f>
        <v>302.57760000000007</v>
      </c>
      <c r="CA80" s="14">
        <f t="shared" si="93"/>
        <v>71.716558091076294</v>
      </c>
      <c r="CB80" s="22">
        <f t="shared" si="64"/>
        <v>651.89565867529132</v>
      </c>
      <c r="CC80" s="60">
        <f t="shared" si="65"/>
        <v>945.22899200862457</v>
      </c>
      <c r="CD80" s="60">
        <f ca="1">AVERAGE(OFFSET($CC$3,0,0,'Données projet'!$E$12+1,1))-AVERAGE(OFFSET($H$3,0,0,'Données projet'!$E$12+1,1))</f>
        <v>587.74247372331615</v>
      </c>
      <c r="CE80" s="60">
        <f t="shared" si="94"/>
        <v>306.61893266146666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>
        <f>EXP(-LN(2)/35)*CK79+(1-EXP(-LN(2)/35))/(LN(2)/35)*CG80*CH80*VLOOKUP('Données projet'!$B$12,Paramètres!$A$1:$I$89,3,0)*0.475*44/12</f>
        <v>0</v>
      </c>
      <c r="CL80" s="23">
        <f>EXP(-LN(2)/25)*CL79+(1-EXP(-LN(2)/25))/(LN(2)/25)*Calculateur!CG80*Calculateur!CI80*VLOOKUP('Données projet'!$B$12,Paramètres!$A$1:$I$89,3,0)*0.475*44/12</f>
        <v>0</v>
      </c>
      <c r="CM80" s="23">
        <f>EXP(-LN(2)/2)*CM79+(1-EXP(-LN(2)/2))/(LN(2)/2)*CG80*CJ80*VLOOKUP('Données projet'!$B$12,Paramètres!$A$1:$I$89,3,0)*0.475*44/12</f>
        <v>0</v>
      </c>
      <c r="CN80" s="24">
        <f t="shared" si="66"/>
        <v>0</v>
      </c>
      <c r="CO80" s="77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7.2</v>
      </c>
      <c r="CT80" s="13">
        <f>IF('Données projet'!$A$140&gt;35,CT79+CS80-DB79,IF(A80&lt;'Données projet'!$A$140,$CQ$205^A80,IF(A80='Données projet'!$A$140,'Données projet'!$B$140,CT79+CS80-DB79)))</f>
        <v>298.40000000000003</v>
      </c>
      <c r="CU80" s="18">
        <f>CT80*VLOOKUP('Données projet'!$B$13,Paramètres!$A$1:$I$89,3,0)*VLOOKUP('Données projet'!$B$13,Paramètres!$A$1:$I$89,5,0)</f>
        <v>321.19776000000002</v>
      </c>
      <c r="CV80" s="14">
        <f t="shared" si="95"/>
        <v>75.602516709962615</v>
      </c>
      <c r="CW80" s="22">
        <f t="shared" si="67"/>
        <v>691.09381526985146</v>
      </c>
      <c r="CX80" s="60">
        <f t="shared" si="68"/>
        <v>984.42714860318483</v>
      </c>
      <c r="CY80" s="60">
        <f ca="1">AVERAGE(OFFSET($CX$3,0,0,'Données projet'!$E$13+1,1))-AVERAGE(OFFSET($H$3,0,0,'Données projet'!$E$13+1,1))</f>
        <v>621.10465023992288</v>
      </c>
      <c r="CZ80" s="60">
        <f t="shared" si="96"/>
        <v>322.81767004794284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>
        <f>EXP(-LN(2)/35)*DF79+(1-EXP(-LN(2)/35))/(LN(2)/35)*DB80*DC80*VLOOKUP('Données projet'!$B$13,Paramètres!$A$1:$I$89,3,0)*0.475*44/12</f>
        <v>0</v>
      </c>
      <c r="DG80" s="23">
        <f>EXP(-LN(2)/25)*DG79+(1-EXP(-LN(2)/25))/(LN(2)/25)*Calculateur!DB80*Calculateur!DD80*VLOOKUP('Données projet'!$B$13,Paramètres!$A$1:$I$89,3,0)*0.475*44/12</f>
        <v>0</v>
      </c>
      <c r="DH80" s="23">
        <f>EXP(-LN(2)/2)*DH79+(1-EXP(-LN(2)/2))/(LN(2)/2)*DB80*DE80*VLOOKUP('Données projet'!$B$13,Paramètres!$A$1:$I$89,3,0)*0.475*44/12</f>
        <v>0</v>
      </c>
      <c r="DI80" s="24">
        <f t="shared" si="69"/>
        <v>0</v>
      </c>
      <c r="DJ80" s="77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7.2</v>
      </c>
      <c r="DO80" s="13">
        <f>IF('Données projet'!$A$166&gt;35,DO79+DN80-DW79,IF(A80&lt;'Données projet'!$A$166,$DL$205^A80,IF(A80='Données projet'!$A$166,'Données projet'!$B$166,DO79+DN80-DW79)))</f>
        <v>298.40000000000003</v>
      </c>
      <c r="DP80" s="18">
        <f>DO80*VLOOKUP('Données projet'!$B$14,Paramètres!$A$1:$I$89,3,0)*VLOOKUP('Données projet'!$B$14,Paramètres!$A$1:$I$89,5,0)</f>
        <v>288.61248000000001</v>
      </c>
      <c r="DQ80" s="14">
        <f t="shared" si="97"/>
        <v>68.783851967051476</v>
      </c>
      <c r="DR80" s="22">
        <f t="shared" si="70"/>
        <v>622.4652781759479</v>
      </c>
      <c r="DS80" s="60">
        <f t="shared" si="71"/>
        <v>915.79861150928127</v>
      </c>
      <c r="DT80" s="60">
        <f ca="1">AVERAGE(OFFSET($DS$3,0,0,'Données projet'!$E$14+1,1))-AVERAGE(OFFSET($H$3,0,0,'Données projet'!$E$14+1,1))</f>
        <v>562.69380557620775</v>
      </c>
      <c r="DU80" s="60">
        <f t="shared" si="98"/>
        <v>294.45557293177131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>
        <f>EXP(-LN(2)/35)*EA79+(1-EXP(-LN(2)/35))/(LN(2)/35)*DW80*DX80*VLOOKUP('Données projet'!$B$14,Paramètres!$A$1:$I$89,3,0)*0.475*44/12</f>
        <v>0</v>
      </c>
      <c r="EB80" s="23">
        <f>EXP(-LN(2)/25)*EB79+(1-EXP(-LN(2)/25))/(LN(2)/25)*Calculateur!DW80*Calculateur!DY80*VLOOKUP('Données projet'!$B$14,Paramètres!$A$1:$I$89,3,0)*0.475*44/12</f>
        <v>0</v>
      </c>
      <c r="EC80" s="23">
        <f>EXP(-LN(2)/2)*EC79+(1-EXP(-LN(2)/2))/(LN(2)/2)*DW80*DZ80*VLOOKUP('Données projet'!$B$14,Paramètres!$A$1:$I$89,3,0)*0.475*44/12</f>
        <v>0</v>
      </c>
      <c r="ED80" s="24">
        <f t="shared" si="72"/>
        <v>0</v>
      </c>
      <c r="EE80" s="77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1.1368683772161603E-13</v>
      </c>
      <c r="EK80" s="18">
        <f>EJ80*VLOOKUP('Données projet'!$B$15,Paramètres!$A$1:$I$89,3,0)*VLOOKUP('Données projet'!$B$15,Paramètres!$A$1:$I$89,5,0)</f>
        <v>8.8675733422860506E-14</v>
      </c>
      <c r="EL80" s="14">
        <f t="shared" si="99"/>
        <v>1.3509285393066301E-12</v>
      </c>
      <c r="EM80" s="22">
        <f t="shared" si="73"/>
        <v>2.5073107750038623E-12</v>
      </c>
      <c r="EN80" s="60">
        <f t="shared" si="74"/>
        <v>293.33333333333582</v>
      </c>
      <c r="EO80" s="60">
        <f ca="1">AVERAGE(OFFSET($EN$3,0,0,'Données projet'!$E$15+1,1))-AVERAGE(OFFSET($H$3,0,0,'Données projet'!$E$15+1,1))</f>
        <v>292.57482726862594</v>
      </c>
      <c r="EP80" s="60">
        <f t="shared" si="100"/>
        <v>283.48738729114024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>
        <f>EXP(-LN(2)/35)*EV79+(1-EXP(-LN(2)/35))/(LN(2)/35)*ER80*ES80*VLOOKUP('Données projet'!$B$15,Paramètres!$A$1:$I$89,3,0)*0.475*44/12</f>
        <v>0</v>
      </c>
      <c r="EW80" s="23">
        <f>EXP(-LN(2)/25)*EW79+(1-EXP(-LN(2)/25))/(LN(2)/25)*Calculateur!ER80*Calculateur!ET80*VLOOKUP('Données projet'!$B$15,Paramètres!$A$1:$I$89,3,0)*0.475*44/12</f>
        <v>0</v>
      </c>
      <c r="EX80" s="23">
        <f>EXP(-LN(2)/2)*EX79+(1-EXP(-LN(2)/2))/(LN(2)/2)*ER80*EU80*VLOOKUP('Données projet'!$B$15,Paramètres!$A$1:$I$89,3,0)*0.475*44/12</f>
        <v>0</v>
      </c>
      <c r="EY80" s="24">
        <f t="shared" si="75"/>
        <v>0</v>
      </c>
      <c r="EZ80" s="77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0" t="e">
        <f t="shared" si="77"/>
        <v>#N/A</v>
      </c>
      <c r="FJ80" s="60" t="e">
        <f ca="1">AVERAGE(OFFSET($FI$3,0,0,'Données projet'!$E$16+1,1))-AVERAGE(OFFSET($H$3,0,0,'Données projet'!$E$16+1,1))</f>
        <v>#N/A</v>
      </c>
      <c r="FK80" s="60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77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0" t="e">
        <f t="shared" si="80"/>
        <v>#N/A</v>
      </c>
      <c r="GE80" s="60" t="e">
        <f ca="1">AVERAGE(OFFSET($GD$3,0,0,'Données projet'!$E$17+1,1))-AVERAGE(OFFSET($H$3,0,0,'Données projet'!$E$17+1,1))</f>
        <v>#N/A</v>
      </c>
      <c r="GF80" s="60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77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0" t="e">
        <f t="shared" si="83"/>
        <v>#N/A</v>
      </c>
      <c r="GZ80" s="60" t="e">
        <f ca="1">AVERAGE(OFFSET($GY$3,0,0,'Données projet'!$E$18+1,1))-AVERAGE(OFFSET($H$3,0,0,'Données projet'!$E$18+1,1))</f>
        <v>#N/A</v>
      </c>
      <c r="HA80" s="60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25">
      <c r="A81" s="11">
        <f t="shared" si="85"/>
        <v>78</v>
      </c>
      <c r="B81" s="74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2">
        <f t="shared" si="86"/>
        <v>0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0</v>
      </c>
      <c r="H81" s="67">
        <f t="shared" si="56"/>
        <v>256.66666666666669</v>
      </c>
      <c r="I81" s="7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4.3589743589743595</v>
      </c>
      <c r="N81" s="14">
        <f>IF('Données projet'!$A$36&gt;35,N80+M81-V80,IF(A81&lt;'Données projet'!$A$36,$K$205^A81,IF(A81='Données projet'!$A$36,'Données projet'!$B$36,N80+M81-V80)))</f>
        <v>243.8461538461539</v>
      </c>
      <c r="O81" s="14">
        <f>N81*VLOOKUP('Données projet'!$B$9,Paramètres!$A$1:$I$89,3,0)*VLOOKUP('Données projet'!$B$9,Paramètres!$A$1:$I$89,5,0)</f>
        <v>232.04400000000004</v>
      </c>
      <c r="P81" s="14">
        <f t="shared" si="87"/>
        <v>56.724414281075624</v>
      </c>
      <c r="Q81" s="22">
        <f t="shared" si="54"/>
        <v>502.93832153954008</v>
      </c>
      <c r="R81" s="60">
        <f t="shared" si="55"/>
        <v>796.27165487287334</v>
      </c>
      <c r="S81" s="60">
        <f ca="1">AVERAGE(OFFSET($R$3,0,0,'Données projet'!$E$9+1,1))-AVERAGE(OFFSET($H$3,0,0,'Données projet'!$E$9+1,1))</f>
        <v>403.49781966317852</v>
      </c>
      <c r="T81" s="60">
        <f t="shared" si="88"/>
        <v>326.06674572505409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0</v>
      </c>
      <c r="AA81" s="23">
        <f>EXP(-LN(2)/25)*AA80+(1-EXP(-LN(2)/25))/(LN(2)/25)*Calculateur!V81*Calculateur!X81*VLOOKUP('Données projet'!$B$9,Paramètres!$A$1:$I$89,3,0)*0.475*44/12</f>
        <v>0</v>
      </c>
      <c r="AB81" s="23">
        <f>EXP(-LN(2)/2)*AB80+(1-EXP(-LN(2)/2))/(LN(2)/2)*V81*Y81*VLOOKUP('Données projet'!$B$9,Paramètres!$A$1:$I$89,3,0)*0.475*44/12</f>
        <v>0</v>
      </c>
      <c r="AC81" s="24">
        <f t="shared" si="57"/>
        <v>0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2.4</v>
      </c>
      <c r="AI81" s="14">
        <f>IF('Données projet'!$A$62&gt;35,AI80+AH81-AQ80,IF(A81&lt;'Données projet'!$A$62,$AF$205^A81,IF(A81='Données projet'!$A$62,'Données projet'!$B$62,AI80+AH81-AQ80)))</f>
        <v>229.19999999999987</v>
      </c>
      <c r="AJ81" s="14">
        <f>AI81*VLOOKUP('Données projet'!$B$10,Paramètres!$A$1:$I$89,3,0)*VLOOKUP('Données projet'!$B$10,Paramètres!$A$1:$I$89,5,0)</f>
        <v>200.22911999999994</v>
      </c>
      <c r="AK81" s="14">
        <f t="shared" si="89"/>
        <v>49.794518010766353</v>
      </c>
      <c r="AL81" s="22">
        <f t="shared" si="58"/>
        <v>435.45783620208459</v>
      </c>
      <c r="AM81" s="60">
        <f t="shared" si="59"/>
        <v>728.79116953541791</v>
      </c>
      <c r="AN81" s="60">
        <f ca="1">AVERAGE(OFFSET($AM$3,0,0,'Données projet'!$E$10+1,1))-AVERAGE(OFFSET($H$3,0,0,'Données projet'!$E$10+1,1))</f>
        <v>274.66236526869056</v>
      </c>
      <c r="AO81" s="60">
        <f t="shared" si="90"/>
        <v>256.90876395053073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>
        <f>EXP(-LN(2)/35)*AU80+(1-EXP(-LN(2)/35))/(LN(2)/35)*AQ81*AR81*VLOOKUP('Données projet'!$B$10,Paramètres!$A$1:$I$89,3,0)*0.475*44/12</f>
        <v>0</v>
      </c>
      <c r="AV81" s="23">
        <f>EXP(-LN(2)/25)*AV80+(1-EXP(-LN(2)/25))/(LN(2)/25)*Calculateur!AQ81*Calculateur!AS81*VLOOKUP('Données projet'!$B$10,Paramètres!$A$1:$I$89,3,0)*0.475*44/12</f>
        <v>0</v>
      </c>
      <c r="AW81" s="23">
        <f>EXP(-LN(2)/2)*AW80+(1-EXP(-LN(2)/2))/(LN(2)/2)*AQ81*AT81*VLOOKUP('Données projet'!$B$10,Paramètres!$A$1:$I$89,3,0)*0.475*44/12</f>
        <v>0</v>
      </c>
      <c r="AX81" s="23">
        <f t="shared" si="60"/>
        <v>0</v>
      </c>
      <c r="AY81" s="76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7.2</v>
      </c>
      <c r="BD81" s="13">
        <f>IF('Données projet'!$A$88&gt;35,BD80+BC81-BL80,IF(A81&lt;'Données projet'!$A$88,$BA$205^A81,IF(A81='Données projet'!$A$88,'Données projet'!$B$88,BD80+BC81-BL80)))</f>
        <v>305.60000000000002</v>
      </c>
      <c r="BE81" s="14">
        <f>BD81*VLOOKUP('Données projet'!$B$11,Paramètres!$A$1:$I$89,3,0)*VLOOKUP('Données projet'!$B$11,Paramètres!$A$1:$I$89,5,0)</f>
        <v>276.50687999999997</v>
      </c>
      <c r="BF81" s="14">
        <f t="shared" si="91"/>
        <v>66.228273722513677</v>
      </c>
      <c r="BG81" s="22">
        <f t="shared" si="61"/>
        <v>596.93039273337797</v>
      </c>
      <c r="BH81" s="60">
        <f t="shared" si="62"/>
        <v>890.26372606671134</v>
      </c>
      <c r="BI81" s="60">
        <f ca="1">AVERAGE(OFFSET($BH$3,0,0,'Données projet'!$E$11+1,1))-AVERAGE(OFFSET($H$3,0,0,'Données projet'!$E$11+1,1))</f>
        <v>529.25712986118265</v>
      </c>
      <c r="BJ81" s="60">
        <f t="shared" si="92"/>
        <v>278.21741231699929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>
        <f>EXP(-LN(2)/35)*BP80+(1-EXP(-LN(2)/35))/(LN(2)/35)*BL81*BM81*VLOOKUP('Données projet'!$B$11,Paramètres!$A$1:$I$89,3,0)*0.475*44/12</f>
        <v>0</v>
      </c>
      <c r="BQ81" s="23">
        <f>EXP(-LN(2)/25)*BQ80+(1-EXP(-LN(2)/25))/(LN(2)/25)*Calculateur!BL81*Calculateur!BN81*VLOOKUP('Données projet'!$B$11,Paramètres!$A$1:$I$89,3,0)*0.475*44/12</f>
        <v>0</v>
      </c>
      <c r="BR81" s="23">
        <f>EXP(-LN(2)/2)*BR80+(1-EXP(-LN(2)/2))/(LN(2)/2)*BL81*BO81*VLOOKUP('Données projet'!$B$11,Paramètres!$A$1:$I$89,3,0)*0.475*44/12</f>
        <v>0</v>
      </c>
      <c r="BS81" s="24">
        <f t="shared" si="63"/>
        <v>0</v>
      </c>
      <c r="BT81" s="77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7.2</v>
      </c>
      <c r="BY81" s="13">
        <f>IF('Données projet'!$A$114&gt;35,BY80+BX81-CG80,IF(A81&lt;'Données projet'!$A$114,$BV$205^A81,IF(A81='Données projet'!$A$114,'Données projet'!$B$114,BY80+BX81-CG80)))</f>
        <v>305.60000000000002</v>
      </c>
      <c r="BZ81" s="14">
        <f>BY81*VLOOKUP('Données projet'!$B$12,Paramètres!$A$1:$I$89,3,0)*VLOOKUP('Données projet'!$B$12,Paramètres!$A$1:$I$89,5,0)</f>
        <v>309.87840000000006</v>
      </c>
      <c r="CA81" s="14">
        <f t="shared" si="93"/>
        <v>73.243434672131556</v>
      </c>
      <c r="CB81" s="22">
        <f t="shared" si="64"/>
        <v>667.27052872062916</v>
      </c>
      <c r="CC81" s="60">
        <f t="shared" si="65"/>
        <v>960.60386205396253</v>
      </c>
      <c r="CD81" s="60">
        <f ca="1">AVERAGE(OFFSET($CC$3,0,0,'Données projet'!$E$12+1,1))-AVERAGE(OFFSET($H$3,0,0,'Données projet'!$E$12+1,1))</f>
        <v>587.74247372331615</v>
      </c>
      <c r="CE81" s="60">
        <f t="shared" si="94"/>
        <v>306.61893266146666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>
        <f>EXP(-LN(2)/35)*CK80+(1-EXP(-LN(2)/35))/(LN(2)/35)*CG81*CH81*VLOOKUP('Données projet'!$B$12,Paramètres!$A$1:$I$89,3,0)*0.475*44/12</f>
        <v>0</v>
      </c>
      <c r="CL81" s="23">
        <f>EXP(-LN(2)/25)*CL80+(1-EXP(-LN(2)/25))/(LN(2)/25)*Calculateur!CG81*Calculateur!CI81*VLOOKUP('Données projet'!$B$12,Paramètres!$A$1:$I$89,3,0)*0.475*44/12</f>
        <v>0</v>
      </c>
      <c r="CM81" s="23">
        <f>EXP(-LN(2)/2)*CM80+(1-EXP(-LN(2)/2))/(LN(2)/2)*CG81*CJ81*VLOOKUP('Données projet'!$B$12,Paramètres!$A$1:$I$89,3,0)*0.475*44/12</f>
        <v>0</v>
      </c>
      <c r="CN81" s="24">
        <f t="shared" si="66"/>
        <v>0</v>
      </c>
      <c r="CO81" s="77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7.2</v>
      </c>
      <c r="CT81" s="13">
        <f>IF('Données projet'!$A$140&gt;35,CT80+CS81-DB80,IF(A81&lt;'Données projet'!$A$140,$CQ$205^A81,IF(A81='Données projet'!$A$140,'Données projet'!$B$140,CT80+CS81-DB80)))</f>
        <v>305.60000000000002</v>
      </c>
      <c r="CU81" s="18">
        <f>CT81*VLOOKUP('Données projet'!$B$13,Paramètres!$A$1:$I$89,3,0)*VLOOKUP('Données projet'!$B$13,Paramètres!$A$1:$I$89,5,0)</f>
        <v>328.94784000000004</v>
      </c>
      <c r="CV81" s="14">
        <f t="shared" si="95"/>
        <v>77.212127032960666</v>
      </c>
      <c r="CW81" s="22">
        <f t="shared" si="67"/>
        <v>707.39527591573994</v>
      </c>
      <c r="CX81" s="60">
        <f t="shared" si="68"/>
        <v>1000.7286092490733</v>
      </c>
      <c r="CY81" s="60">
        <f ca="1">AVERAGE(OFFSET($CX$3,0,0,'Données projet'!$E$13+1,1))-AVERAGE(OFFSET($H$3,0,0,'Données projet'!$E$13+1,1))</f>
        <v>621.10465023992288</v>
      </c>
      <c r="CZ81" s="60">
        <f t="shared" si="96"/>
        <v>322.81767004794284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>
        <f>EXP(-LN(2)/35)*DF80+(1-EXP(-LN(2)/35))/(LN(2)/35)*DB81*DC81*VLOOKUP('Données projet'!$B$13,Paramètres!$A$1:$I$89,3,0)*0.475*44/12</f>
        <v>0</v>
      </c>
      <c r="DG81" s="23">
        <f>EXP(-LN(2)/25)*DG80+(1-EXP(-LN(2)/25))/(LN(2)/25)*Calculateur!DB81*Calculateur!DD81*VLOOKUP('Données projet'!$B$13,Paramètres!$A$1:$I$89,3,0)*0.475*44/12</f>
        <v>0</v>
      </c>
      <c r="DH81" s="23">
        <f>EXP(-LN(2)/2)*DH80+(1-EXP(-LN(2)/2))/(LN(2)/2)*DB81*DE81*VLOOKUP('Données projet'!$B$13,Paramètres!$A$1:$I$89,3,0)*0.475*44/12</f>
        <v>0</v>
      </c>
      <c r="DI81" s="24">
        <f t="shared" si="69"/>
        <v>0</v>
      </c>
      <c r="DJ81" s="77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7.2</v>
      </c>
      <c r="DO81" s="13">
        <f>IF('Données projet'!$A$166&gt;35,DO80+DN81-DW80,IF(A81&lt;'Données projet'!$A$166,$DL$205^A81,IF(A81='Données projet'!$A$166,'Données projet'!$B$166,DO80+DN81-DW80)))</f>
        <v>305.60000000000002</v>
      </c>
      <c r="DP81" s="18">
        <f>DO81*VLOOKUP('Données projet'!$B$14,Paramètres!$A$1:$I$89,3,0)*VLOOKUP('Données projet'!$B$14,Paramètres!$A$1:$I$89,5,0)</f>
        <v>295.57632000000001</v>
      </c>
      <c r="DQ81" s="14">
        <f t="shared" si="97"/>
        <v>70.24828996461811</v>
      </c>
      <c r="DR81" s="22">
        <f t="shared" si="70"/>
        <v>637.1445290217099</v>
      </c>
      <c r="DS81" s="60">
        <f t="shared" si="71"/>
        <v>930.47786235504327</v>
      </c>
      <c r="DT81" s="60">
        <f ca="1">AVERAGE(OFFSET($DS$3,0,0,'Données projet'!$E$14+1,1))-AVERAGE(OFFSET($H$3,0,0,'Données projet'!$E$14+1,1))</f>
        <v>562.69380557620775</v>
      </c>
      <c r="DU81" s="60">
        <f t="shared" si="98"/>
        <v>294.45557293177131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>
        <f>EXP(-LN(2)/35)*EA80+(1-EXP(-LN(2)/35))/(LN(2)/35)*DW81*DX81*VLOOKUP('Données projet'!$B$14,Paramètres!$A$1:$I$89,3,0)*0.475*44/12</f>
        <v>0</v>
      </c>
      <c r="EB81" s="23">
        <f>EXP(-LN(2)/25)*EB80+(1-EXP(-LN(2)/25))/(LN(2)/25)*Calculateur!DW81*Calculateur!DY81*VLOOKUP('Données projet'!$B$14,Paramètres!$A$1:$I$89,3,0)*0.475*44/12</f>
        <v>0</v>
      </c>
      <c r="EC81" s="23">
        <f>EXP(-LN(2)/2)*EC80+(1-EXP(-LN(2)/2))/(LN(2)/2)*DW81*DZ81*VLOOKUP('Données projet'!$B$14,Paramètres!$A$1:$I$89,3,0)*0.475*44/12</f>
        <v>0</v>
      </c>
      <c r="ED81" s="24">
        <f t="shared" si="72"/>
        <v>0</v>
      </c>
      <c r="EE81" s="77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1.1368683772161603E-13</v>
      </c>
      <c r="EK81" s="18">
        <f>EJ81*VLOOKUP('Données projet'!$B$15,Paramètres!$A$1:$I$89,3,0)*VLOOKUP('Données projet'!$B$15,Paramètres!$A$1:$I$89,5,0)</f>
        <v>8.8675733422860506E-14</v>
      </c>
      <c r="EL81" s="14">
        <f t="shared" si="99"/>
        <v>1.3509285393066301E-12</v>
      </c>
      <c r="EM81" s="22">
        <f t="shared" si="73"/>
        <v>2.5073107750038623E-12</v>
      </c>
      <c r="EN81" s="60">
        <f t="shared" si="74"/>
        <v>293.33333333333582</v>
      </c>
      <c r="EO81" s="60">
        <f ca="1">AVERAGE(OFFSET($EN$3,0,0,'Données projet'!$E$15+1,1))-AVERAGE(OFFSET($H$3,0,0,'Données projet'!$E$15+1,1))</f>
        <v>292.57482726862594</v>
      </c>
      <c r="EP81" s="60">
        <f t="shared" si="100"/>
        <v>283.48738729114024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>
        <f>EXP(-LN(2)/35)*EV80+(1-EXP(-LN(2)/35))/(LN(2)/35)*ER81*ES81*VLOOKUP('Données projet'!$B$15,Paramètres!$A$1:$I$89,3,0)*0.475*44/12</f>
        <v>0</v>
      </c>
      <c r="EW81" s="23">
        <f>EXP(-LN(2)/25)*EW80+(1-EXP(-LN(2)/25))/(LN(2)/25)*Calculateur!ER81*Calculateur!ET81*VLOOKUP('Données projet'!$B$15,Paramètres!$A$1:$I$89,3,0)*0.475*44/12</f>
        <v>0</v>
      </c>
      <c r="EX81" s="23">
        <f>EXP(-LN(2)/2)*EX80+(1-EXP(-LN(2)/2))/(LN(2)/2)*ER81*EU81*VLOOKUP('Données projet'!$B$15,Paramètres!$A$1:$I$89,3,0)*0.475*44/12</f>
        <v>0</v>
      </c>
      <c r="EY81" s="24">
        <f t="shared" si="75"/>
        <v>0</v>
      </c>
      <c r="EZ81" s="77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0" t="e">
        <f t="shared" si="77"/>
        <v>#N/A</v>
      </c>
      <c r="FJ81" s="60" t="e">
        <f ca="1">AVERAGE(OFFSET($FI$3,0,0,'Données projet'!$E$16+1,1))-AVERAGE(OFFSET($H$3,0,0,'Données projet'!$E$16+1,1))</f>
        <v>#N/A</v>
      </c>
      <c r="FK81" s="60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77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0" t="e">
        <f t="shared" si="80"/>
        <v>#N/A</v>
      </c>
      <c r="GE81" s="60" t="e">
        <f ca="1">AVERAGE(OFFSET($GD$3,0,0,'Données projet'!$E$17+1,1))-AVERAGE(OFFSET($H$3,0,0,'Données projet'!$E$17+1,1))</f>
        <v>#N/A</v>
      </c>
      <c r="GF81" s="60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77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0" t="e">
        <f t="shared" si="83"/>
        <v>#N/A</v>
      </c>
      <c r="GZ81" s="60" t="e">
        <f ca="1">AVERAGE(OFFSET($GY$3,0,0,'Données projet'!$E$18+1,1))-AVERAGE(OFFSET($H$3,0,0,'Données projet'!$E$18+1,1))</f>
        <v>#N/A</v>
      </c>
      <c r="HA81" s="60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25">
      <c r="A82" s="11">
        <f t="shared" si="85"/>
        <v>79</v>
      </c>
      <c r="B82" s="74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2">
        <f t="shared" si="86"/>
        <v>0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0</v>
      </c>
      <c r="H82" s="67">
        <f t="shared" si="56"/>
        <v>256.66666666666669</v>
      </c>
      <c r="I82" s="7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4.3589743589743595</v>
      </c>
      <c r="N82" s="14">
        <f>IF('Données projet'!$A$36&gt;35,N81+M82-V81,IF(A82&lt;'Données projet'!$A$36,$K$205^A82,IF(A82='Données projet'!$A$36,'Données projet'!$B$36,N81+M82-V81)))</f>
        <v>248.20512820512826</v>
      </c>
      <c r="O82" s="14">
        <f>N82*VLOOKUP('Données projet'!$B$9,Paramètres!$A$1:$I$89,3,0)*VLOOKUP('Données projet'!$B$9,Paramètres!$A$1:$I$89,5,0)</f>
        <v>236.19200000000006</v>
      </c>
      <c r="P82" s="14">
        <f t="shared" si="87"/>
        <v>57.619459643421678</v>
      </c>
      <c r="Q82" s="22">
        <f t="shared" si="54"/>
        <v>511.72162554562624</v>
      </c>
      <c r="R82" s="60">
        <f t="shared" si="55"/>
        <v>805.0549588789595</v>
      </c>
      <c r="S82" s="60">
        <f ca="1">AVERAGE(OFFSET($R$3,0,0,'Données projet'!$E$9+1,1))-AVERAGE(OFFSET($H$3,0,0,'Données projet'!$E$9+1,1))</f>
        <v>403.49781966317852</v>
      </c>
      <c r="T82" s="60">
        <f t="shared" si="88"/>
        <v>326.06674572505409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0</v>
      </c>
      <c r="AA82" s="23">
        <f>EXP(-LN(2)/25)*AA81+(1-EXP(-LN(2)/25))/(LN(2)/25)*Calculateur!V82*Calculateur!X82*VLOOKUP('Données projet'!$B$9,Paramètres!$A$1:$I$89,3,0)*0.475*44/12</f>
        <v>0</v>
      </c>
      <c r="AB82" s="23">
        <f>EXP(-LN(2)/2)*AB81+(1-EXP(-LN(2)/2))/(LN(2)/2)*V82*Y82*VLOOKUP('Données projet'!$B$9,Paramètres!$A$1:$I$89,3,0)*0.475*44/12</f>
        <v>0</v>
      </c>
      <c r="AC82" s="24">
        <f t="shared" si="57"/>
        <v>0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2.4</v>
      </c>
      <c r="AI82" s="14">
        <f>IF('Données projet'!$A$62&gt;35,AI81+AH82-AQ81,IF(A82&lt;'Données projet'!$A$62,$AF$205^A82,IF(A82='Données projet'!$A$62,'Données projet'!$B$62,AI81+AH82-AQ81)))</f>
        <v>231.59999999999988</v>
      </c>
      <c r="AJ82" s="14">
        <f>AI82*VLOOKUP('Données projet'!$B$10,Paramètres!$A$1:$I$89,3,0)*VLOOKUP('Données projet'!$B$10,Paramètres!$A$1:$I$89,5,0)</f>
        <v>202.32575999999992</v>
      </c>
      <c r="AK82" s="14">
        <f t="shared" si="89"/>
        <v>50.254954935552895</v>
      </c>
      <c r="AL82" s="22">
        <f t="shared" si="58"/>
        <v>439.91141184608779</v>
      </c>
      <c r="AM82" s="60">
        <f t="shared" si="59"/>
        <v>733.2447451794211</v>
      </c>
      <c r="AN82" s="60">
        <f ca="1">AVERAGE(OFFSET($AM$3,0,0,'Données projet'!$E$10+1,1))-AVERAGE(OFFSET($H$3,0,0,'Données projet'!$E$10+1,1))</f>
        <v>274.66236526869056</v>
      </c>
      <c r="AO82" s="60">
        <f t="shared" si="90"/>
        <v>256.90876395053073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>
        <f>EXP(-LN(2)/35)*AU81+(1-EXP(-LN(2)/35))/(LN(2)/35)*AQ82*AR82*VLOOKUP('Données projet'!$B$10,Paramètres!$A$1:$I$89,3,0)*0.475*44/12</f>
        <v>0</v>
      </c>
      <c r="AV82" s="23">
        <f>EXP(-LN(2)/25)*AV81+(1-EXP(-LN(2)/25))/(LN(2)/25)*Calculateur!AQ82*Calculateur!AS82*VLOOKUP('Données projet'!$B$10,Paramètres!$A$1:$I$89,3,0)*0.475*44/12</f>
        <v>0</v>
      </c>
      <c r="AW82" s="23">
        <f>EXP(-LN(2)/2)*AW81+(1-EXP(-LN(2)/2))/(LN(2)/2)*AQ82*AT82*VLOOKUP('Données projet'!$B$10,Paramètres!$A$1:$I$89,3,0)*0.475*44/12</f>
        <v>0</v>
      </c>
      <c r="AX82" s="23">
        <f t="shared" si="60"/>
        <v>0</v>
      </c>
      <c r="AY82" s="76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7.2</v>
      </c>
      <c r="BD82" s="13">
        <f>IF('Données projet'!$A$88&gt;35,BD81+BC82-BL81,IF(A82&lt;'Données projet'!$A$88,$BA$205^A82,IF(A82='Données projet'!$A$88,'Données projet'!$B$88,BD81+BC82-BL81)))</f>
        <v>312.8</v>
      </c>
      <c r="BE82" s="14">
        <f>BD82*VLOOKUP('Données projet'!$B$11,Paramètres!$A$1:$I$89,3,0)*VLOOKUP('Données projet'!$B$11,Paramètres!$A$1:$I$89,5,0)</f>
        <v>283.02144000000004</v>
      </c>
      <c r="BF82" s="14">
        <f t="shared" si="91"/>
        <v>67.605126603830598</v>
      </c>
      <c r="BG82" s="22">
        <f t="shared" si="61"/>
        <v>610.67460350167164</v>
      </c>
      <c r="BH82" s="60">
        <f t="shared" si="62"/>
        <v>904.00793683500501</v>
      </c>
      <c r="BI82" s="60">
        <f ca="1">AVERAGE(OFFSET($BH$3,0,0,'Données projet'!$E$11+1,1))-AVERAGE(OFFSET($H$3,0,0,'Données projet'!$E$11+1,1))</f>
        <v>529.25712986118265</v>
      </c>
      <c r="BJ82" s="60">
        <f t="shared" si="92"/>
        <v>278.21741231699929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>
        <f>EXP(-LN(2)/35)*BP81+(1-EXP(-LN(2)/35))/(LN(2)/35)*BL82*BM82*VLOOKUP('Données projet'!$B$11,Paramètres!$A$1:$I$89,3,0)*0.475*44/12</f>
        <v>0</v>
      </c>
      <c r="BQ82" s="23">
        <f>EXP(-LN(2)/25)*BQ81+(1-EXP(-LN(2)/25))/(LN(2)/25)*Calculateur!BL82*Calculateur!BN82*VLOOKUP('Données projet'!$B$11,Paramètres!$A$1:$I$89,3,0)*0.475*44/12</f>
        <v>0</v>
      </c>
      <c r="BR82" s="23">
        <f>EXP(-LN(2)/2)*BR81+(1-EXP(-LN(2)/2))/(LN(2)/2)*BL82*BO82*VLOOKUP('Données projet'!$B$11,Paramètres!$A$1:$I$89,3,0)*0.475*44/12</f>
        <v>0</v>
      </c>
      <c r="BS82" s="24">
        <f t="shared" si="63"/>
        <v>0</v>
      </c>
      <c r="BT82" s="77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7.2</v>
      </c>
      <c r="BY82" s="13">
        <f>IF('Données projet'!$A$114&gt;35,BY81+BX82-CG81,IF(A82&lt;'Données projet'!$A$114,$BV$205^A82,IF(A82='Données projet'!$A$114,'Données projet'!$B$114,BY81+BX82-CG81)))</f>
        <v>312.8</v>
      </c>
      <c r="BZ82" s="14">
        <f>BY82*VLOOKUP('Données projet'!$B$12,Paramètres!$A$1:$I$89,3,0)*VLOOKUP('Données projet'!$B$12,Paramètres!$A$1:$I$89,5,0)</f>
        <v>317.17920000000004</v>
      </c>
      <c r="CA82" s="14">
        <f t="shared" si="93"/>
        <v>74.766129261581426</v>
      </c>
      <c r="CB82" s="22">
        <f t="shared" si="64"/>
        <v>682.63811513058772</v>
      </c>
      <c r="CC82" s="60">
        <f t="shared" si="65"/>
        <v>975.97144846392098</v>
      </c>
      <c r="CD82" s="60">
        <f ca="1">AVERAGE(OFFSET($CC$3,0,0,'Données projet'!$E$12+1,1))-AVERAGE(OFFSET($H$3,0,0,'Données projet'!$E$12+1,1))</f>
        <v>587.74247372331615</v>
      </c>
      <c r="CE82" s="60">
        <f t="shared" si="94"/>
        <v>306.61893266146666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>
        <f>EXP(-LN(2)/35)*CK81+(1-EXP(-LN(2)/35))/(LN(2)/35)*CG82*CH82*VLOOKUP('Données projet'!$B$12,Paramètres!$A$1:$I$89,3,0)*0.475*44/12</f>
        <v>0</v>
      </c>
      <c r="CL82" s="23">
        <f>EXP(-LN(2)/25)*CL81+(1-EXP(-LN(2)/25))/(LN(2)/25)*Calculateur!CG82*Calculateur!CI82*VLOOKUP('Données projet'!$B$12,Paramètres!$A$1:$I$89,3,0)*0.475*44/12</f>
        <v>0</v>
      </c>
      <c r="CM82" s="23">
        <f>EXP(-LN(2)/2)*CM81+(1-EXP(-LN(2)/2))/(LN(2)/2)*CG82*CJ82*VLOOKUP('Données projet'!$B$12,Paramètres!$A$1:$I$89,3,0)*0.475*44/12</f>
        <v>0</v>
      </c>
      <c r="CN82" s="24">
        <f t="shared" si="66"/>
        <v>0</v>
      </c>
      <c r="CO82" s="77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7.2</v>
      </c>
      <c r="CT82" s="13">
        <f>IF('Données projet'!$A$140&gt;35,CT81+CS82-DB81,IF(A82&lt;'Données projet'!$A$140,$CQ$205^A82,IF(A82='Données projet'!$A$140,'Données projet'!$B$140,CT81+CS82-DB81)))</f>
        <v>312.8</v>
      </c>
      <c r="CU82" s="18">
        <f>CT82*VLOOKUP('Données projet'!$B$13,Paramètres!$A$1:$I$89,3,0)*VLOOKUP('Données projet'!$B$13,Paramètres!$A$1:$I$89,5,0)</f>
        <v>336.69792000000001</v>
      </c>
      <c r="CV82" s="14">
        <f t="shared" si="95"/>
        <v>78.817328763317647</v>
      </c>
      <c r="CW82" s="22">
        <f t="shared" si="67"/>
        <v>723.6890582627783</v>
      </c>
      <c r="CX82" s="60">
        <f t="shared" si="68"/>
        <v>1017.0223915961117</v>
      </c>
      <c r="CY82" s="60">
        <f ca="1">AVERAGE(OFFSET($CX$3,0,0,'Données projet'!$E$13+1,1))-AVERAGE(OFFSET($H$3,0,0,'Données projet'!$E$13+1,1))</f>
        <v>621.10465023992288</v>
      </c>
      <c r="CZ82" s="60">
        <f t="shared" si="96"/>
        <v>322.81767004794284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>
        <f>EXP(-LN(2)/35)*DF81+(1-EXP(-LN(2)/35))/(LN(2)/35)*DB82*DC82*VLOOKUP('Données projet'!$B$13,Paramètres!$A$1:$I$89,3,0)*0.475*44/12</f>
        <v>0</v>
      </c>
      <c r="DG82" s="23">
        <f>EXP(-LN(2)/25)*DG81+(1-EXP(-LN(2)/25))/(LN(2)/25)*Calculateur!DB82*Calculateur!DD82*VLOOKUP('Données projet'!$B$13,Paramètres!$A$1:$I$89,3,0)*0.475*44/12</f>
        <v>0</v>
      </c>
      <c r="DH82" s="23">
        <f>EXP(-LN(2)/2)*DH81+(1-EXP(-LN(2)/2))/(LN(2)/2)*DB82*DE82*VLOOKUP('Données projet'!$B$13,Paramètres!$A$1:$I$89,3,0)*0.475*44/12</f>
        <v>0</v>
      </c>
      <c r="DI82" s="24">
        <f t="shared" si="69"/>
        <v>0</v>
      </c>
      <c r="DJ82" s="77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7.2</v>
      </c>
      <c r="DO82" s="13">
        <f>IF('Données projet'!$A$166&gt;35,DO81+DN82-DW81,IF(A82&lt;'Données projet'!$A$166,$DL$205^A82,IF(A82='Données projet'!$A$166,'Données projet'!$B$166,DO81+DN82-DW81)))</f>
        <v>312.8</v>
      </c>
      <c r="DP82" s="18">
        <f>DO82*VLOOKUP('Données projet'!$B$14,Paramètres!$A$1:$I$89,3,0)*VLOOKUP('Données projet'!$B$14,Paramètres!$A$1:$I$89,5,0)</f>
        <v>302.54016000000001</v>
      </c>
      <c r="DQ82" s="14">
        <f t="shared" si="97"/>
        <v>71.708716984815311</v>
      </c>
      <c r="DR82" s="22">
        <f t="shared" si="70"/>
        <v>651.81679408188654</v>
      </c>
      <c r="DS82" s="60">
        <f t="shared" si="71"/>
        <v>945.15012741521991</v>
      </c>
      <c r="DT82" s="60">
        <f ca="1">AVERAGE(OFFSET($DS$3,0,0,'Données projet'!$E$14+1,1))-AVERAGE(OFFSET($H$3,0,0,'Données projet'!$E$14+1,1))</f>
        <v>562.69380557620775</v>
      </c>
      <c r="DU82" s="60">
        <f t="shared" si="98"/>
        <v>294.45557293177131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>
        <f>EXP(-LN(2)/35)*EA81+(1-EXP(-LN(2)/35))/(LN(2)/35)*DW82*DX82*VLOOKUP('Données projet'!$B$14,Paramètres!$A$1:$I$89,3,0)*0.475*44/12</f>
        <v>0</v>
      </c>
      <c r="EB82" s="23">
        <f>EXP(-LN(2)/25)*EB81+(1-EXP(-LN(2)/25))/(LN(2)/25)*Calculateur!DW82*Calculateur!DY82*VLOOKUP('Données projet'!$B$14,Paramètres!$A$1:$I$89,3,0)*0.475*44/12</f>
        <v>0</v>
      </c>
      <c r="EC82" s="23">
        <f>EXP(-LN(2)/2)*EC81+(1-EXP(-LN(2)/2))/(LN(2)/2)*DW82*DZ82*VLOOKUP('Données projet'!$B$14,Paramètres!$A$1:$I$89,3,0)*0.475*44/12</f>
        <v>0</v>
      </c>
      <c r="ED82" s="24">
        <f t="shared" si="72"/>
        <v>0</v>
      </c>
      <c r="EE82" s="77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1.1368683772161603E-13</v>
      </c>
      <c r="EK82" s="18">
        <f>EJ82*VLOOKUP('Données projet'!$B$15,Paramètres!$A$1:$I$89,3,0)*VLOOKUP('Données projet'!$B$15,Paramètres!$A$1:$I$89,5,0)</f>
        <v>8.8675733422860506E-14</v>
      </c>
      <c r="EL82" s="14">
        <f t="shared" si="99"/>
        <v>1.3509285393066301E-12</v>
      </c>
      <c r="EM82" s="22">
        <f t="shared" si="73"/>
        <v>2.5073107750038623E-12</v>
      </c>
      <c r="EN82" s="60">
        <f t="shared" si="74"/>
        <v>293.33333333333582</v>
      </c>
      <c r="EO82" s="60">
        <f ca="1">AVERAGE(OFFSET($EN$3,0,0,'Données projet'!$E$15+1,1))-AVERAGE(OFFSET($H$3,0,0,'Données projet'!$E$15+1,1))</f>
        <v>292.57482726862594</v>
      </c>
      <c r="EP82" s="60">
        <f t="shared" si="100"/>
        <v>283.48738729114024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>
        <f>EXP(-LN(2)/35)*EV81+(1-EXP(-LN(2)/35))/(LN(2)/35)*ER82*ES82*VLOOKUP('Données projet'!$B$15,Paramètres!$A$1:$I$89,3,0)*0.475*44/12</f>
        <v>0</v>
      </c>
      <c r="EW82" s="23">
        <f>EXP(-LN(2)/25)*EW81+(1-EXP(-LN(2)/25))/(LN(2)/25)*Calculateur!ER82*Calculateur!ET82*VLOOKUP('Données projet'!$B$15,Paramètres!$A$1:$I$89,3,0)*0.475*44/12</f>
        <v>0</v>
      </c>
      <c r="EX82" s="23">
        <f>EXP(-LN(2)/2)*EX81+(1-EXP(-LN(2)/2))/(LN(2)/2)*ER82*EU82*VLOOKUP('Données projet'!$B$15,Paramètres!$A$1:$I$89,3,0)*0.475*44/12</f>
        <v>0</v>
      </c>
      <c r="EY82" s="24">
        <f t="shared" si="75"/>
        <v>0</v>
      </c>
      <c r="EZ82" s="77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0" t="e">
        <f t="shared" si="77"/>
        <v>#N/A</v>
      </c>
      <c r="FJ82" s="60" t="e">
        <f ca="1">AVERAGE(OFFSET($FI$3,0,0,'Données projet'!$E$16+1,1))-AVERAGE(OFFSET($H$3,0,0,'Données projet'!$E$16+1,1))</f>
        <v>#N/A</v>
      </c>
      <c r="FK82" s="60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77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0" t="e">
        <f t="shared" si="80"/>
        <v>#N/A</v>
      </c>
      <c r="GE82" s="60" t="e">
        <f ca="1">AVERAGE(OFFSET($GD$3,0,0,'Données projet'!$E$17+1,1))-AVERAGE(OFFSET($H$3,0,0,'Données projet'!$E$17+1,1))</f>
        <v>#N/A</v>
      </c>
      <c r="GF82" s="60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77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0" t="e">
        <f t="shared" si="83"/>
        <v>#N/A</v>
      </c>
      <c r="GZ82" s="60" t="e">
        <f ca="1">AVERAGE(OFFSET($GY$3,0,0,'Données projet'!$E$18+1,1))-AVERAGE(OFFSET($H$3,0,0,'Données projet'!$E$18+1,1))</f>
        <v>#N/A</v>
      </c>
      <c r="HA82" s="60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25">
      <c r="A83" s="11">
        <f t="shared" si="85"/>
        <v>80</v>
      </c>
      <c r="B83" s="74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2">
        <f t="shared" si="86"/>
        <v>0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0</v>
      </c>
      <c r="H83" s="67">
        <f t="shared" si="56"/>
        <v>256.66666666666669</v>
      </c>
      <c r="I83" s="7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>
        <f>VLOOKUP(A83,'Données projet'!$A$35:$I$55,2,0)</f>
        <v>252.56410256410257</v>
      </c>
      <c r="L83" s="13">
        <f>VLOOKUP(A83,'Données projet'!$A$35:$I$55,9,0)</f>
        <v>4.3589743589743595</v>
      </c>
      <c r="M83" s="13">
        <f t="array" ref="M83">INDEX(L:L,MIN(IF(ISNUMBER(L83:L279),ROW(L83:L279),"")))</f>
        <v>4.3589743589743595</v>
      </c>
      <c r="N83" s="14">
        <f>IF('Données projet'!$A$36&gt;35,N82+M83-V82,IF(A83&lt;'Données projet'!$A$36,$K$205^A83,IF(A83='Données projet'!$A$36,'Données projet'!$B$36,N82+M83-V82)))</f>
        <v>252.56410256410263</v>
      </c>
      <c r="O83" s="14">
        <f>N83*VLOOKUP('Données projet'!$B$9,Paramètres!$A$1:$I$89,3,0)*VLOOKUP('Données projet'!$B$9,Paramètres!$A$1:$I$89,5,0)</f>
        <v>240.34000000000006</v>
      </c>
      <c r="P83" s="14">
        <f t="shared" si="87"/>
        <v>58.512677110228644</v>
      </c>
      <c r="Q83" s="22">
        <f t="shared" si="54"/>
        <v>520.5017459669815</v>
      </c>
      <c r="R83" s="60">
        <f t="shared" si="55"/>
        <v>813.83507930031487</v>
      </c>
      <c r="S83" s="60">
        <f ca="1">AVERAGE(OFFSET($R$3,0,0,'Données projet'!$E$9+1,1))-AVERAGE(OFFSET($H$3,0,0,'Données projet'!$E$9+1,1))</f>
        <v>403.49781966317852</v>
      </c>
      <c r="T83" s="60">
        <f t="shared" si="88"/>
        <v>326.06674572505409</v>
      </c>
      <c r="U83" s="16">
        <f>IF(ISNA(VLOOKUP(A83,'Données projet'!$A$35:$I$55,3,0)),0,VLOOKUP(A83,'Données projet'!$A$35:$I$55,3,0))</f>
        <v>7</v>
      </c>
      <c r="V83" s="16">
        <f>IF(ISNA(VLOOKUP(A83,'Données projet'!$A$35:$I$55,4,0)),0,VLOOKUP(A83,'Données projet'!$A$35:$I$55,4,0))</f>
        <v>30.128205128205128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0</v>
      </c>
      <c r="AA83" s="23">
        <f>EXP(-LN(2)/25)*AA82+(1-EXP(-LN(2)/25))/(LN(2)/25)*Calculateur!V83*Calculateur!X83*VLOOKUP('Données projet'!$B$9,Paramètres!$A$1:$I$89,3,0)*0.475*44/12</f>
        <v>0</v>
      </c>
      <c r="AB83" s="23">
        <f>EXP(-LN(2)/2)*AB82+(1-EXP(-LN(2)/2))/(LN(2)/2)*V83*Y83*VLOOKUP('Données projet'!$B$9,Paramètres!$A$1:$I$89,3,0)*0.475*44/12</f>
        <v>0</v>
      </c>
      <c r="AC83" s="24">
        <f t="shared" si="57"/>
        <v>0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>
        <f>VLOOKUP(A83,'Données projet'!$A$61:$I$81,2,0)</f>
        <v>234</v>
      </c>
      <c r="AG83" s="13">
        <f>VLOOKUP(A83,'Données projet'!$A$61:$I$81,9,0)</f>
        <v>2.4</v>
      </c>
      <c r="AH83" s="13">
        <f t="array" ref="AH83">INDEX(AG:AG,MIN(IF(ISNUMBER(AG83:AG279),ROW(AG83:AG279),"")))</f>
        <v>2.4</v>
      </c>
      <c r="AI83" s="14">
        <f>IF('Données projet'!$A$62&gt;35,AI82+AH83-AQ82,IF(A83&lt;'Données projet'!$A$62,$AF$205^A83,IF(A83='Données projet'!$A$62,'Données projet'!$B$62,AI82+AH83-AQ82)))</f>
        <v>233.99999999999989</v>
      </c>
      <c r="AJ83" s="14">
        <f>AI83*VLOOKUP('Données projet'!$B$10,Paramètres!$A$1:$I$89,3,0)*VLOOKUP('Données projet'!$B$10,Paramètres!$A$1:$I$89,5,0)</f>
        <v>204.4223999999999</v>
      </c>
      <c r="AK83" s="14">
        <f t="shared" si="89"/>
        <v>50.714836797527262</v>
      </c>
      <c r="AL83" s="22">
        <f t="shared" si="58"/>
        <v>444.36402075569316</v>
      </c>
      <c r="AM83" s="60">
        <f t="shared" si="59"/>
        <v>737.69735408902648</v>
      </c>
      <c r="AN83" s="60">
        <f ca="1">AVERAGE(OFFSET($AM$3,0,0,'Données projet'!$E$10+1,1))-AVERAGE(OFFSET($H$3,0,0,'Données projet'!$E$10+1,1))</f>
        <v>274.66236526869056</v>
      </c>
      <c r="AO83" s="60">
        <f t="shared" si="90"/>
        <v>256.90876395053073</v>
      </c>
      <c r="AP83" s="16">
        <f>IF(ISNA(VLOOKUP(A83,'Données projet'!$A$61:$I$81,3,0)),0,VLOOKUP(A83,'Données projet'!$A$61:$I$81,3,0))</f>
        <v>6</v>
      </c>
      <c r="AQ83" s="16">
        <f>IF(ISNA(VLOOKUP(A83,'Données projet'!$A$61:$I$81,4,0)),0,VLOOKUP(A83,'Données projet'!$A$61:$I$81,4,0))</f>
        <v>234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>
        <f>EXP(-LN(2)/35)*AU82+(1-EXP(-LN(2)/35))/(LN(2)/35)*AQ83*AR83*VLOOKUP('Données projet'!$B$10,Paramètres!$A$1:$I$89,3,0)*0.475*44/12</f>
        <v>0</v>
      </c>
      <c r="AV83" s="23">
        <f>EXP(-LN(2)/25)*AV82+(1-EXP(-LN(2)/25))/(LN(2)/25)*Calculateur!AQ83*Calculateur!AS83*VLOOKUP('Données projet'!$B$10,Paramètres!$A$1:$I$89,3,0)*0.475*44/12</f>
        <v>0</v>
      </c>
      <c r="AW83" s="23">
        <f>EXP(-LN(2)/2)*AW82+(1-EXP(-LN(2)/2))/(LN(2)/2)*AQ83*AT83*VLOOKUP('Données projet'!$B$10,Paramètres!$A$1:$I$89,3,0)*0.475*44/12</f>
        <v>0</v>
      </c>
      <c r="AX83" s="23">
        <f t="shared" si="60"/>
        <v>0</v>
      </c>
      <c r="AY83" s="76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>
        <f>VLOOKUP(A83,'Données projet'!$A$87:$I$107,2,0)</f>
        <v>320</v>
      </c>
      <c r="BB83" s="13">
        <f>VLOOKUP(A83,'Données projet'!$A$87:$I$107,9,0)</f>
        <v>7.2</v>
      </c>
      <c r="BC83" s="13">
        <f t="array" ref="BC83">INDEX(BB:BB,MIN(IF(ISNUMBER(BB83:BB279),ROW(BB83:BB279),"")))</f>
        <v>7.2</v>
      </c>
      <c r="BD83" s="13">
        <f>IF('Données projet'!$A$88&gt;35,BD82+BC83-BL82,IF(A83&lt;'Données projet'!$A$88,$BA$205^A83,IF(A83='Données projet'!$A$88,'Données projet'!$B$88,BD82+BC83-BL82)))</f>
        <v>320</v>
      </c>
      <c r="BE83" s="14">
        <f>BD83*VLOOKUP('Données projet'!$B$11,Paramètres!$A$1:$I$89,3,0)*VLOOKUP('Données projet'!$B$11,Paramètres!$A$1:$I$89,5,0)</f>
        <v>289.536</v>
      </c>
      <c r="BF83" s="14">
        <f t="shared" si="91"/>
        <v>68.97829509904436</v>
      </c>
      <c r="BG83" s="22">
        <f t="shared" si="61"/>
        <v>624.41239729750225</v>
      </c>
      <c r="BH83" s="60">
        <f t="shared" si="62"/>
        <v>917.74573063083562</v>
      </c>
      <c r="BI83" s="60">
        <f ca="1">AVERAGE(OFFSET($BH$3,0,0,'Données projet'!$E$11+1,1))-AVERAGE(OFFSET($H$3,0,0,'Données projet'!$E$11+1,1))</f>
        <v>529.25712986118265</v>
      </c>
      <c r="BJ83" s="60">
        <f t="shared" si="92"/>
        <v>278.21741231699929</v>
      </c>
      <c r="BK83" s="16">
        <f>IF(ISNA(VLOOKUP(A83,'Données projet'!$A$87:$I$107,3,0)),0,VLOOKUP(A83,'Données projet'!$A$87:$I$107,3,0))</f>
        <v>0</v>
      </c>
      <c r="BL83" s="23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>
        <f>EXP(-LN(2)/35)*BP82+(1-EXP(-LN(2)/35))/(LN(2)/35)*BL83*BM83*VLOOKUP('Données projet'!$B$11,Paramètres!$A$1:$I$89,3,0)*0.475*44/12</f>
        <v>0</v>
      </c>
      <c r="BQ83" s="23">
        <f>EXP(-LN(2)/25)*BQ82+(1-EXP(-LN(2)/25))/(LN(2)/25)*Calculateur!BL83*Calculateur!BN83*VLOOKUP('Données projet'!$B$11,Paramètres!$A$1:$I$89,3,0)*0.475*44/12</f>
        <v>0</v>
      </c>
      <c r="BR83" s="23">
        <f>EXP(-LN(2)/2)*BR82+(1-EXP(-LN(2)/2))/(LN(2)/2)*BL83*BO83*VLOOKUP('Données projet'!$B$11,Paramètres!$A$1:$I$89,3,0)*0.475*44/12</f>
        <v>0</v>
      </c>
      <c r="BS83" s="24">
        <f t="shared" si="63"/>
        <v>0</v>
      </c>
      <c r="BT83" s="77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>
        <f>VLOOKUP(A83,'Données projet'!$A$113:$I$133,2,0)</f>
        <v>320</v>
      </c>
      <c r="BW83" s="13">
        <f>VLOOKUP(A83,'Données projet'!$A$113:$I$133,9,0)</f>
        <v>7.2</v>
      </c>
      <c r="BX83" s="13">
        <f t="array" ref="BX83">INDEX(BW:BW,MIN(IF(ISNUMBER(BW83:BW279),ROW(BW83:BW279),"")))</f>
        <v>7.2</v>
      </c>
      <c r="BY83" s="13">
        <f>IF('Données projet'!$A$114&gt;35,BY82+BX83-CG82,IF(A83&lt;'Données projet'!$A$114,$BV$205^A83,IF(A83='Données projet'!$A$114,'Données projet'!$B$114,BY82+BX83-CG82)))</f>
        <v>320</v>
      </c>
      <c r="BZ83" s="14">
        <f>BY83*VLOOKUP('Données projet'!$B$12,Paramètres!$A$1:$I$89,3,0)*VLOOKUP('Données projet'!$B$12,Paramètres!$A$1:$I$89,5,0)</f>
        <v>324.48</v>
      </c>
      <c r="CA83" s="14">
        <f t="shared" si="93"/>
        <v>76.284749200165578</v>
      </c>
      <c r="CB83" s="22">
        <f t="shared" si="64"/>
        <v>697.99860485695501</v>
      </c>
      <c r="CC83" s="60">
        <f t="shared" si="65"/>
        <v>991.33193819028838</v>
      </c>
      <c r="CD83" s="60">
        <f ca="1">AVERAGE(OFFSET($CC$3,0,0,'Données projet'!$E$12+1,1))-AVERAGE(OFFSET($H$3,0,0,'Données projet'!$E$12+1,1))</f>
        <v>587.74247372331615</v>
      </c>
      <c r="CE83" s="60">
        <f t="shared" si="94"/>
        <v>306.61893266146666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>
        <f>EXP(-LN(2)/35)*CK82+(1-EXP(-LN(2)/35))/(LN(2)/35)*CG83*CH83*VLOOKUP('Données projet'!$B$12,Paramètres!$A$1:$I$89,3,0)*0.475*44/12</f>
        <v>0</v>
      </c>
      <c r="CL83" s="23">
        <f>EXP(-LN(2)/25)*CL82+(1-EXP(-LN(2)/25))/(LN(2)/25)*Calculateur!CG83*Calculateur!CI83*VLOOKUP('Données projet'!$B$12,Paramètres!$A$1:$I$89,3,0)*0.475*44/12</f>
        <v>0</v>
      </c>
      <c r="CM83" s="23">
        <f>EXP(-LN(2)/2)*CM82+(1-EXP(-LN(2)/2))/(LN(2)/2)*CG83*CJ83*VLOOKUP('Données projet'!$B$12,Paramètres!$A$1:$I$89,3,0)*0.475*44/12</f>
        <v>0</v>
      </c>
      <c r="CN83" s="24">
        <f t="shared" si="66"/>
        <v>0</v>
      </c>
      <c r="CO83" s="77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>
        <f>VLOOKUP(A83,'Données projet'!$A$139:$I$159,2,0)</f>
        <v>320</v>
      </c>
      <c r="CR83" s="13">
        <f>VLOOKUP(A83,'Données projet'!$A$139:$I$159,9,0)</f>
        <v>7.2</v>
      </c>
      <c r="CS83" s="13">
        <f t="array" ref="CS83">INDEX(CR:CR,MIN(IF(ISNUMBER(CR83:CR279),ROW(CR83:CR279),"")))</f>
        <v>7.2</v>
      </c>
      <c r="CT83" s="13">
        <f>IF('Données projet'!$A$140&gt;35,CT82+CS83-DB82,IF(A83&lt;'Données projet'!$A$140,$CQ$205^A83,IF(A83='Données projet'!$A$140,'Données projet'!$B$140,CT82+CS83-DB82)))</f>
        <v>320</v>
      </c>
      <c r="CU83" s="18">
        <f>CT83*VLOOKUP('Données projet'!$B$13,Paramètres!$A$1:$I$89,3,0)*VLOOKUP('Données projet'!$B$13,Paramètres!$A$1:$I$89,5,0)</f>
        <v>344.44799999999998</v>
      </c>
      <c r="CV83" s="14">
        <f t="shared" si="95"/>
        <v>80.418235058027051</v>
      </c>
      <c r="CW83" s="22">
        <f t="shared" si="67"/>
        <v>739.9753593927303</v>
      </c>
      <c r="CX83" s="60">
        <f t="shared" si="68"/>
        <v>1033.3086927260636</v>
      </c>
      <c r="CY83" s="60">
        <f ca="1">AVERAGE(OFFSET($CX$3,0,0,'Données projet'!$E$13+1,1))-AVERAGE(OFFSET($H$3,0,0,'Données projet'!$E$13+1,1))</f>
        <v>621.10465023992288</v>
      </c>
      <c r="CZ83" s="60">
        <f t="shared" si="96"/>
        <v>322.81767004794284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>
        <f>EXP(-LN(2)/35)*DF82+(1-EXP(-LN(2)/35))/(LN(2)/35)*DB83*DC83*VLOOKUP('Données projet'!$B$13,Paramètres!$A$1:$I$89,3,0)*0.475*44/12</f>
        <v>0</v>
      </c>
      <c r="DG83" s="23">
        <f>EXP(-LN(2)/25)*DG82+(1-EXP(-LN(2)/25))/(LN(2)/25)*Calculateur!DB83*Calculateur!DD83*VLOOKUP('Données projet'!$B$13,Paramètres!$A$1:$I$89,3,0)*0.475*44/12</f>
        <v>0</v>
      </c>
      <c r="DH83" s="23">
        <f>EXP(-LN(2)/2)*DH82+(1-EXP(-LN(2)/2))/(LN(2)/2)*DB83*DE83*VLOOKUP('Données projet'!$B$13,Paramètres!$A$1:$I$89,3,0)*0.475*44/12</f>
        <v>0</v>
      </c>
      <c r="DI83" s="24">
        <f t="shared" si="69"/>
        <v>0</v>
      </c>
      <c r="DJ83" s="77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>
        <f>VLOOKUP(A83,'Données projet'!$A$165:$I$185,2,0)</f>
        <v>320</v>
      </c>
      <c r="DM83" s="13">
        <f>VLOOKUP(A83,'Données projet'!$A$165:$I$185,9,0)</f>
        <v>7.2</v>
      </c>
      <c r="DN83" s="13">
        <f t="array" ref="DN83">INDEX(DM:DM,MIN(IF(ISNUMBER(DM83:DM279),ROW(DM83:DM279),"")))</f>
        <v>7.2</v>
      </c>
      <c r="DO83" s="13">
        <f>IF('Données projet'!$A$166&gt;35,DO82+DN83-DW82,IF(A83&lt;'Données projet'!$A$166,$DL$205^A83,IF(A83='Données projet'!$A$166,'Données projet'!$B$166,DO82+DN83-DW82)))</f>
        <v>320</v>
      </c>
      <c r="DP83" s="18">
        <f>DO83*VLOOKUP('Données projet'!$B$14,Paramètres!$A$1:$I$89,3,0)*VLOOKUP('Données projet'!$B$14,Paramètres!$A$1:$I$89,5,0)</f>
        <v>309.50400000000002</v>
      </c>
      <c r="DQ83" s="14">
        <f t="shared" si="97"/>
        <v>73.165235978896504</v>
      </c>
      <c r="DR83" s="22">
        <f t="shared" si="70"/>
        <v>666.48225266324471</v>
      </c>
      <c r="DS83" s="60">
        <f t="shared" si="71"/>
        <v>959.81558599657797</v>
      </c>
      <c r="DT83" s="60">
        <f ca="1">AVERAGE(OFFSET($DS$3,0,0,'Données projet'!$E$14+1,1))-AVERAGE(OFFSET($H$3,0,0,'Données projet'!$E$14+1,1))</f>
        <v>562.69380557620775</v>
      </c>
      <c r="DU83" s="60">
        <f t="shared" si="98"/>
        <v>294.45557293177131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>
        <f>EXP(-LN(2)/35)*EA82+(1-EXP(-LN(2)/35))/(LN(2)/35)*DW83*DX83*VLOOKUP('Données projet'!$B$14,Paramètres!$A$1:$I$89,3,0)*0.475*44/12</f>
        <v>0</v>
      </c>
      <c r="EB83" s="23">
        <f>EXP(-LN(2)/25)*EB82+(1-EXP(-LN(2)/25))/(LN(2)/25)*Calculateur!DW83*Calculateur!DY83*VLOOKUP('Données projet'!$B$14,Paramètres!$A$1:$I$89,3,0)*0.475*44/12</f>
        <v>0</v>
      </c>
      <c r="EC83" s="23">
        <f>EXP(-LN(2)/2)*EC82+(1-EXP(-LN(2)/2))/(LN(2)/2)*DW83*DZ83*VLOOKUP('Données projet'!$B$14,Paramètres!$A$1:$I$89,3,0)*0.475*44/12</f>
        <v>0</v>
      </c>
      <c r="ED83" s="24">
        <f t="shared" si="72"/>
        <v>0</v>
      </c>
      <c r="EE83" s="77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1.1368683772161603E-13</v>
      </c>
      <c r="EK83" s="18">
        <f>EJ83*VLOOKUP('Données projet'!$B$15,Paramètres!$A$1:$I$89,3,0)*VLOOKUP('Données projet'!$B$15,Paramètres!$A$1:$I$89,5,0)</f>
        <v>8.8675733422860506E-14</v>
      </c>
      <c r="EL83" s="14">
        <f t="shared" si="99"/>
        <v>1.3509285393066301E-12</v>
      </c>
      <c r="EM83" s="22">
        <f t="shared" si="73"/>
        <v>2.5073107750038623E-12</v>
      </c>
      <c r="EN83" s="60">
        <f t="shared" si="74"/>
        <v>293.33333333333582</v>
      </c>
      <c r="EO83" s="60">
        <f ca="1">AVERAGE(OFFSET($EN$3,0,0,'Données projet'!$E$15+1,1))-AVERAGE(OFFSET($H$3,0,0,'Données projet'!$E$15+1,1))</f>
        <v>292.57482726862594</v>
      </c>
      <c r="EP83" s="60">
        <f t="shared" si="100"/>
        <v>283.48738729114024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>
        <f>EXP(-LN(2)/35)*EV82+(1-EXP(-LN(2)/35))/(LN(2)/35)*ER83*ES83*VLOOKUP('Données projet'!$B$15,Paramètres!$A$1:$I$89,3,0)*0.475*44/12</f>
        <v>0</v>
      </c>
      <c r="EW83" s="23">
        <f>EXP(-LN(2)/25)*EW82+(1-EXP(-LN(2)/25))/(LN(2)/25)*Calculateur!ER83*Calculateur!ET83*VLOOKUP('Données projet'!$B$15,Paramètres!$A$1:$I$89,3,0)*0.475*44/12</f>
        <v>0</v>
      </c>
      <c r="EX83" s="23">
        <f>EXP(-LN(2)/2)*EX82+(1-EXP(-LN(2)/2))/(LN(2)/2)*ER83*EU83*VLOOKUP('Données projet'!$B$15,Paramètres!$A$1:$I$89,3,0)*0.475*44/12</f>
        <v>0</v>
      </c>
      <c r="EY83" s="24">
        <f t="shared" si="75"/>
        <v>0</v>
      </c>
      <c r="EZ83" s="77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0" t="e">
        <f t="shared" si="77"/>
        <v>#N/A</v>
      </c>
      <c r="FJ83" s="60" t="e">
        <f ca="1">AVERAGE(OFFSET($FI$3,0,0,'Données projet'!$E$16+1,1))-AVERAGE(OFFSET($H$3,0,0,'Données projet'!$E$16+1,1))</f>
        <v>#N/A</v>
      </c>
      <c r="FK83" s="60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77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0" t="e">
        <f t="shared" si="80"/>
        <v>#N/A</v>
      </c>
      <c r="GE83" s="60" t="e">
        <f ca="1">AVERAGE(OFFSET($GD$3,0,0,'Données projet'!$E$17+1,1))-AVERAGE(OFFSET($H$3,0,0,'Données projet'!$E$17+1,1))</f>
        <v>#N/A</v>
      </c>
      <c r="GF83" s="60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77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0" t="e">
        <f t="shared" si="83"/>
        <v>#N/A</v>
      </c>
      <c r="GZ83" s="60" t="e">
        <f ca="1">AVERAGE(OFFSET($GY$3,0,0,'Données projet'!$E$18+1,1))-AVERAGE(OFFSET($H$3,0,0,'Données projet'!$E$18+1,1))</f>
        <v>#N/A</v>
      </c>
      <c r="HA83" s="60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25">
      <c r="A84" s="11">
        <f t="shared" si="85"/>
        <v>81</v>
      </c>
      <c r="B84" s="74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2">
        <f t="shared" si="86"/>
        <v>0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0</v>
      </c>
      <c r="H84" s="67">
        <f t="shared" si="56"/>
        <v>256.66666666666669</v>
      </c>
      <c r="I84" s="7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4.2307692307692317</v>
      </c>
      <c r="N84" s="14">
        <f>IF('Données projet'!$A$36&gt;35,N83+M84-V83,IF(A84&lt;'Données projet'!$A$36,$K$205^A84,IF(A84='Données projet'!$A$36,'Données projet'!$B$36,N83+M84-V83)))</f>
        <v>226.66666666666674</v>
      </c>
      <c r="O84" s="14">
        <f>N84*VLOOKUP('Données projet'!$B$9,Paramètres!$A$1:$I$89,3,0)*VLOOKUP('Données projet'!$B$9,Paramètres!$A$1:$I$89,5,0)</f>
        <v>215.69600000000008</v>
      </c>
      <c r="P84" s="14">
        <f t="shared" si="87"/>
        <v>53.178359639922817</v>
      </c>
      <c r="Q84" s="22">
        <f t="shared" si="54"/>
        <v>468.289509706199</v>
      </c>
      <c r="R84" s="60">
        <f t="shared" si="55"/>
        <v>761.62284303953231</v>
      </c>
      <c r="S84" s="60">
        <f ca="1">AVERAGE(OFFSET($R$3,0,0,'Données projet'!$E$9+1,1))-AVERAGE(OFFSET($H$3,0,0,'Données projet'!$E$9+1,1))</f>
        <v>403.49781966317852</v>
      </c>
      <c r="T84" s="60">
        <f t="shared" si="88"/>
        <v>326.06674572505409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0</v>
      </c>
      <c r="AA84" s="23">
        <f>EXP(-LN(2)/25)*AA83+(1-EXP(-LN(2)/25))/(LN(2)/25)*Calculateur!V84*Calculateur!X84*VLOOKUP('Données projet'!$B$9,Paramètres!$A$1:$I$89,3,0)*0.475*44/12</f>
        <v>0</v>
      </c>
      <c r="AB84" s="23">
        <f>EXP(-LN(2)/2)*AB83+(1-EXP(-LN(2)/2))/(LN(2)/2)*V84*Y84*VLOOKUP('Données projet'!$B$9,Paramètres!$A$1:$I$89,3,0)*0.475*44/12</f>
        <v>0</v>
      </c>
      <c r="AC84" s="24">
        <f t="shared" si="57"/>
        <v>0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0</v>
      </c>
      <c r="AI84" s="14">
        <f>IF('Données projet'!$A$62&gt;35,AI83+AH84-AQ83,IF(A84&lt;'Données projet'!$A$62,$AF$205^A84,IF(A84='Données projet'!$A$62,'Données projet'!$B$62,AI83+AH84-AQ83)))</f>
        <v>-1.1368683772161603E-13</v>
      </c>
      <c r="AJ84" s="14">
        <f>AI84*VLOOKUP('Données projet'!$B$10,Paramètres!$A$1:$I$89,3,0)*VLOOKUP('Données projet'!$B$10,Paramètres!$A$1:$I$89,5,0)</f>
        <v>-9.9316821433603781E-14</v>
      </c>
      <c r="AK84" s="14" t="e">
        <f t="shared" si="89"/>
        <v>#NUM!</v>
      </c>
      <c r="AL84" s="22" t="e">
        <f t="shared" si="58"/>
        <v>#NUM!</v>
      </c>
      <c r="AM84" s="60" t="e">
        <f t="shared" si="59"/>
        <v>#NUM!</v>
      </c>
      <c r="AN84" s="60">
        <f ca="1">AVERAGE(OFFSET($AM$3,0,0,'Données projet'!$E$10+1,1))-AVERAGE(OFFSET($H$3,0,0,'Données projet'!$E$10+1,1))</f>
        <v>274.66236526869056</v>
      </c>
      <c r="AO84" s="60">
        <f t="shared" si="90"/>
        <v>256.90876395053073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>
        <f>EXP(-LN(2)/35)*AU83+(1-EXP(-LN(2)/35))/(LN(2)/35)*AQ84*AR84*VLOOKUP('Données projet'!$B$10,Paramètres!$A$1:$I$89,3,0)*0.475*44/12</f>
        <v>0</v>
      </c>
      <c r="AV84" s="23">
        <f>EXP(-LN(2)/25)*AV83+(1-EXP(-LN(2)/25))/(LN(2)/25)*Calculateur!AQ84*Calculateur!AS84*VLOOKUP('Données projet'!$B$10,Paramètres!$A$1:$I$89,3,0)*0.475*44/12</f>
        <v>0</v>
      </c>
      <c r="AW84" s="23">
        <f>EXP(-LN(2)/2)*AW83+(1-EXP(-LN(2)/2))/(LN(2)/2)*AQ84*AT84*VLOOKUP('Données projet'!$B$10,Paramètres!$A$1:$I$89,3,0)*0.475*44/12</f>
        <v>0</v>
      </c>
      <c r="AX84" s="23">
        <f t="shared" si="60"/>
        <v>0</v>
      </c>
      <c r="AY84" s="76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6.6</v>
      </c>
      <c r="BD84" s="13">
        <f>IF('Données projet'!$A$88&gt;35,BD83+BC84-BL83,IF(A84&lt;'Données projet'!$A$88,$BA$205^A84,IF(A84='Données projet'!$A$88,'Données projet'!$B$88,BD83+BC84-BL83)))</f>
        <v>326.60000000000002</v>
      </c>
      <c r="BE84" s="14">
        <f>BD84*VLOOKUP('Données projet'!$B$11,Paramètres!$A$1:$I$89,3,0)*VLOOKUP('Données projet'!$B$11,Paramètres!$A$1:$I$89,5,0)</f>
        <v>295.50767999999999</v>
      </c>
      <c r="BF84" s="14">
        <f t="shared" si="91"/>
        <v>70.233875285761272</v>
      </c>
      <c r="BG84" s="22">
        <f t="shared" si="61"/>
        <v>636.99987545603415</v>
      </c>
      <c r="BH84" s="60">
        <f t="shared" si="62"/>
        <v>930.33320878936752</v>
      </c>
      <c r="BI84" s="60">
        <f ca="1">AVERAGE(OFFSET($BH$3,0,0,'Données projet'!$E$11+1,1))-AVERAGE(OFFSET($H$3,0,0,'Données projet'!$E$11+1,1))</f>
        <v>529.25712986118265</v>
      </c>
      <c r="BJ84" s="60">
        <f t="shared" si="92"/>
        <v>278.21741231699929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>
        <f>EXP(-LN(2)/35)*BP83+(1-EXP(-LN(2)/35))/(LN(2)/35)*BL84*BM84*VLOOKUP('Données projet'!$B$11,Paramètres!$A$1:$I$89,3,0)*0.475*44/12</f>
        <v>0</v>
      </c>
      <c r="BQ84" s="23">
        <f>EXP(-LN(2)/25)*BQ83+(1-EXP(-LN(2)/25))/(LN(2)/25)*Calculateur!BL84*Calculateur!BN84*VLOOKUP('Données projet'!$B$11,Paramètres!$A$1:$I$89,3,0)*0.475*44/12</f>
        <v>0</v>
      </c>
      <c r="BR84" s="23">
        <f>EXP(-LN(2)/2)*BR83+(1-EXP(-LN(2)/2))/(LN(2)/2)*BL84*BO84*VLOOKUP('Données projet'!$B$11,Paramètres!$A$1:$I$89,3,0)*0.475*44/12</f>
        <v>0</v>
      </c>
      <c r="BS84" s="24">
        <f t="shared" si="63"/>
        <v>0</v>
      </c>
      <c r="BT84" s="77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6.6</v>
      </c>
      <c r="BY84" s="13">
        <f>IF('Données projet'!$A$114&gt;35,BY83+BX84-CG83,IF(A84&lt;'Données projet'!$A$114,$BV$205^A84,IF(A84='Données projet'!$A$114,'Données projet'!$B$114,BY83+BX84-CG83)))</f>
        <v>326.60000000000002</v>
      </c>
      <c r="BZ84" s="14">
        <f>BY84*VLOOKUP('Données projet'!$B$12,Paramètres!$A$1:$I$89,3,0)*VLOOKUP('Données projet'!$B$12,Paramètres!$A$1:$I$89,5,0)</f>
        <v>331.17240000000004</v>
      </c>
      <c r="CA84" s="14">
        <f t="shared" si="93"/>
        <v>77.673325411086211</v>
      </c>
      <c r="CB84" s="22">
        <f t="shared" si="64"/>
        <v>712.07297175764188</v>
      </c>
      <c r="CC84" s="60">
        <f t="shared" si="65"/>
        <v>1005.4063050909751</v>
      </c>
      <c r="CD84" s="60">
        <f ca="1">AVERAGE(OFFSET($CC$3,0,0,'Données projet'!$E$12+1,1))-AVERAGE(OFFSET($H$3,0,0,'Données projet'!$E$12+1,1))</f>
        <v>587.74247372331615</v>
      </c>
      <c r="CE84" s="60">
        <f t="shared" si="94"/>
        <v>306.61893266146666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>
        <f>EXP(-LN(2)/35)*CK83+(1-EXP(-LN(2)/35))/(LN(2)/35)*CG84*CH84*VLOOKUP('Données projet'!$B$12,Paramètres!$A$1:$I$89,3,0)*0.475*44/12</f>
        <v>0</v>
      </c>
      <c r="CL84" s="23">
        <f>EXP(-LN(2)/25)*CL83+(1-EXP(-LN(2)/25))/(LN(2)/25)*Calculateur!CG84*Calculateur!CI84*VLOOKUP('Données projet'!$B$12,Paramètres!$A$1:$I$89,3,0)*0.475*44/12</f>
        <v>0</v>
      </c>
      <c r="CM84" s="23">
        <f>EXP(-LN(2)/2)*CM83+(1-EXP(-LN(2)/2))/(LN(2)/2)*CG84*CJ84*VLOOKUP('Données projet'!$B$12,Paramètres!$A$1:$I$89,3,0)*0.475*44/12</f>
        <v>0</v>
      </c>
      <c r="CN84" s="24">
        <f t="shared" si="66"/>
        <v>0</v>
      </c>
      <c r="CO84" s="77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6.6</v>
      </c>
      <c r="CT84" s="13">
        <f>IF('Données projet'!$A$140&gt;35,CT83+CS84-DB83,IF(A84&lt;'Données projet'!$A$140,$CQ$205^A84,IF(A84='Données projet'!$A$140,'Données projet'!$B$140,CT83+CS84-DB83)))</f>
        <v>326.60000000000002</v>
      </c>
      <c r="CU84" s="18">
        <f>CT84*VLOOKUP('Données projet'!$B$13,Paramètres!$A$1:$I$89,3,0)*VLOOKUP('Données projet'!$B$13,Paramètres!$A$1:$I$89,5,0)</f>
        <v>351.55223999999998</v>
      </c>
      <c r="CV84" s="14">
        <f t="shared" si="95"/>
        <v>81.882051211276703</v>
      </c>
      <c r="CW84" s="22">
        <f t="shared" si="67"/>
        <v>754.89805719297362</v>
      </c>
      <c r="CX84" s="60">
        <f t="shared" si="68"/>
        <v>1048.231390526307</v>
      </c>
      <c r="CY84" s="60">
        <f ca="1">AVERAGE(OFFSET($CX$3,0,0,'Données projet'!$E$13+1,1))-AVERAGE(OFFSET($H$3,0,0,'Données projet'!$E$13+1,1))</f>
        <v>621.10465023992288</v>
      </c>
      <c r="CZ84" s="60">
        <f t="shared" si="96"/>
        <v>322.81767004794284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>
        <f>EXP(-LN(2)/35)*DF83+(1-EXP(-LN(2)/35))/(LN(2)/35)*DB84*DC84*VLOOKUP('Données projet'!$B$13,Paramètres!$A$1:$I$89,3,0)*0.475*44/12</f>
        <v>0</v>
      </c>
      <c r="DG84" s="23">
        <f>EXP(-LN(2)/25)*DG83+(1-EXP(-LN(2)/25))/(LN(2)/25)*Calculateur!DB84*Calculateur!DD84*VLOOKUP('Données projet'!$B$13,Paramètres!$A$1:$I$89,3,0)*0.475*44/12</f>
        <v>0</v>
      </c>
      <c r="DH84" s="23">
        <f>EXP(-LN(2)/2)*DH83+(1-EXP(-LN(2)/2))/(LN(2)/2)*DB84*DE84*VLOOKUP('Données projet'!$B$13,Paramètres!$A$1:$I$89,3,0)*0.475*44/12</f>
        <v>0</v>
      </c>
      <c r="DI84" s="24">
        <f t="shared" si="69"/>
        <v>0</v>
      </c>
      <c r="DJ84" s="77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6.6</v>
      </c>
      <c r="DO84" s="13">
        <f>IF('Données projet'!$A$166&gt;35,DO83+DN84-DW83,IF(A84&lt;'Données projet'!$A$166,$DL$205^A84,IF(A84='Données projet'!$A$166,'Données projet'!$B$166,DO83+DN84-DW83)))</f>
        <v>326.60000000000002</v>
      </c>
      <c r="DP84" s="18">
        <f>DO84*VLOOKUP('Données projet'!$B$14,Paramètres!$A$1:$I$89,3,0)*VLOOKUP('Données projet'!$B$14,Paramètres!$A$1:$I$89,5,0)</f>
        <v>315.88752000000005</v>
      </c>
      <c r="DQ84" s="14">
        <f t="shared" si="97"/>
        <v>74.497029125126971</v>
      </c>
      <c r="DR84" s="22">
        <f t="shared" si="70"/>
        <v>679.91975639292957</v>
      </c>
      <c r="DS84" s="60">
        <f t="shared" si="71"/>
        <v>973.25308972626294</v>
      </c>
      <c r="DT84" s="60">
        <f ca="1">AVERAGE(OFFSET($DS$3,0,0,'Données projet'!$E$14+1,1))-AVERAGE(OFFSET($H$3,0,0,'Données projet'!$E$14+1,1))</f>
        <v>562.69380557620775</v>
      </c>
      <c r="DU84" s="60">
        <f t="shared" si="98"/>
        <v>294.45557293177131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>
        <f>EXP(-LN(2)/35)*EA83+(1-EXP(-LN(2)/35))/(LN(2)/35)*DW84*DX84*VLOOKUP('Données projet'!$B$14,Paramètres!$A$1:$I$89,3,0)*0.475*44/12</f>
        <v>0</v>
      </c>
      <c r="EB84" s="23">
        <f>EXP(-LN(2)/25)*EB83+(1-EXP(-LN(2)/25))/(LN(2)/25)*Calculateur!DW84*Calculateur!DY84*VLOOKUP('Données projet'!$B$14,Paramètres!$A$1:$I$89,3,0)*0.475*44/12</f>
        <v>0</v>
      </c>
      <c r="EC84" s="23">
        <f>EXP(-LN(2)/2)*EC83+(1-EXP(-LN(2)/2))/(LN(2)/2)*DW84*DZ84*VLOOKUP('Données projet'!$B$14,Paramètres!$A$1:$I$89,3,0)*0.475*44/12</f>
        <v>0</v>
      </c>
      <c r="ED84" s="24">
        <f t="shared" si="72"/>
        <v>0</v>
      </c>
      <c r="EE84" s="77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1.1368683772161603E-13</v>
      </c>
      <c r="EK84" s="18">
        <f>EJ84*VLOOKUP('Données projet'!$B$15,Paramètres!$A$1:$I$89,3,0)*VLOOKUP('Données projet'!$B$15,Paramètres!$A$1:$I$89,5,0)</f>
        <v>8.8675733422860506E-14</v>
      </c>
      <c r="EL84" s="14">
        <f t="shared" si="99"/>
        <v>1.3509285393066301E-12</v>
      </c>
      <c r="EM84" s="22">
        <f t="shared" si="73"/>
        <v>2.5073107750038623E-12</v>
      </c>
      <c r="EN84" s="60">
        <f t="shared" si="74"/>
        <v>293.33333333333582</v>
      </c>
      <c r="EO84" s="60">
        <f ca="1">AVERAGE(OFFSET($EN$3,0,0,'Données projet'!$E$15+1,1))-AVERAGE(OFFSET($H$3,0,0,'Données projet'!$E$15+1,1))</f>
        <v>292.57482726862594</v>
      </c>
      <c r="EP84" s="60">
        <f t="shared" si="100"/>
        <v>283.48738729114024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>
        <f>EXP(-LN(2)/35)*EV83+(1-EXP(-LN(2)/35))/(LN(2)/35)*ER84*ES84*VLOOKUP('Données projet'!$B$15,Paramètres!$A$1:$I$89,3,0)*0.475*44/12</f>
        <v>0</v>
      </c>
      <c r="EW84" s="23">
        <f>EXP(-LN(2)/25)*EW83+(1-EXP(-LN(2)/25))/(LN(2)/25)*Calculateur!ER84*Calculateur!ET84*VLOOKUP('Données projet'!$B$15,Paramètres!$A$1:$I$89,3,0)*0.475*44/12</f>
        <v>0</v>
      </c>
      <c r="EX84" s="23">
        <f>EXP(-LN(2)/2)*EX83+(1-EXP(-LN(2)/2))/(LN(2)/2)*ER84*EU84*VLOOKUP('Données projet'!$B$15,Paramètres!$A$1:$I$89,3,0)*0.475*44/12</f>
        <v>0</v>
      </c>
      <c r="EY84" s="24">
        <f t="shared" si="75"/>
        <v>0</v>
      </c>
      <c r="EZ84" s="77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0" t="e">
        <f t="shared" si="77"/>
        <v>#N/A</v>
      </c>
      <c r="FJ84" s="60" t="e">
        <f ca="1">AVERAGE(OFFSET($FI$3,0,0,'Données projet'!$E$16+1,1))-AVERAGE(OFFSET($H$3,0,0,'Données projet'!$E$16+1,1))</f>
        <v>#N/A</v>
      </c>
      <c r="FK84" s="60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77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0" t="e">
        <f t="shared" si="80"/>
        <v>#N/A</v>
      </c>
      <c r="GE84" s="60" t="e">
        <f ca="1">AVERAGE(OFFSET($GD$3,0,0,'Données projet'!$E$17+1,1))-AVERAGE(OFFSET($H$3,0,0,'Données projet'!$E$17+1,1))</f>
        <v>#N/A</v>
      </c>
      <c r="GF84" s="60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77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0" t="e">
        <f t="shared" si="83"/>
        <v>#N/A</v>
      </c>
      <c r="GZ84" s="60" t="e">
        <f ca="1">AVERAGE(OFFSET($GY$3,0,0,'Données projet'!$E$18+1,1))-AVERAGE(OFFSET($H$3,0,0,'Données projet'!$E$18+1,1))</f>
        <v>#N/A</v>
      </c>
      <c r="HA84" s="60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25">
      <c r="A85" s="11">
        <f t="shared" si="85"/>
        <v>82</v>
      </c>
      <c r="B85" s="74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2">
        <f t="shared" si="86"/>
        <v>0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0</v>
      </c>
      <c r="H85" s="67">
        <f t="shared" si="56"/>
        <v>256.66666666666669</v>
      </c>
      <c r="I85" s="7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4.2307692307692317</v>
      </c>
      <c r="N85" s="14">
        <f>IF('Données projet'!$A$36&gt;35,N84+M85-V84,IF(A85&lt;'Données projet'!$A$36,$K$205^A85,IF(A85='Données projet'!$A$36,'Données projet'!$B$36,N84+M85-V84)))</f>
        <v>230.89743589743597</v>
      </c>
      <c r="O85" s="14">
        <f>N85*VLOOKUP('Données projet'!$B$9,Paramètres!$A$1:$I$89,3,0)*VLOOKUP('Données projet'!$B$9,Paramètres!$A$1:$I$89,5,0)</f>
        <v>219.72200000000007</v>
      </c>
      <c r="P85" s="14">
        <f t="shared" si="87"/>
        <v>54.05445934840089</v>
      </c>
      <c r="Q85" s="22">
        <f t="shared" si="54"/>
        <v>476.82733336513166</v>
      </c>
      <c r="R85" s="60">
        <f t="shared" si="55"/>
        <v>770.16066669846498</v>
      </c>
      <c r="S85" s="60">
        <f ca="1">AVERAGE(OFFSET($R$3,0,0,'Données projet'!$E$9+1,1))-AVERAGE(OFFSET($H$3,0,0,'Données projet'!$E$9+1,1))</f>
        <v>403.49781966317852</v>
      </c>
      <c r="T85" s="60">
        <f t="shared" si="88"/>
        <v>326.06674572505409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0</v>
      </c>
      <c r="AA85" s="23">
        <f>EXP(-LN(2)/25)*AA84+(1-EXP(-LN(2)/25))/(LN(2)/25)*Calculateur!V85*Calculateur!X85*VLOOKUP('Données projet'!$B$9,Paramètres!$A$1:$I$89,3,0)*0.475*44/12</f>
        <v>0</v>
      </c>
      <c r="AB85" s="23">
        <f>EXP(-LN(2)/2)*AB84+(1-EXP(-LN(2)/2))/(LN(2)/2)*V85*Y85*VLOOKUP('Données projet'!$B$9,Paramètres!$A$1:$I$89,3,0)*0.475*44/12</f>
        <v>0</v>
      </c>
      <c r="AC85" s="24">
        <f t="shared" si="57"/>
        <v>0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0</v>
      </c>
      <c r="AI85" s="14">
        <f>IF('Données projet'!$A$62&gt;35,AI84+AH85-AQ84,IF(A85&lt;'Données projet'!$A$62,$AF$205^A85,IF(A85='Données projet'!$A$62,'Données projet'!$B$62,AI84+AH85-AQ84)))</f>
        <v>-1.1368683772161603E-13</v>
      </c>
      <c r="AJ85" s="14">
        <f>AI85*VLOOKUP('Données projet'!$B$10,Paramètres!$A$1:$I$89,3,0)*VLOOKUP('Données projet'!$B$10,Paramètres!$A$1:$I$89,5,0)</f>
        <v>-9.9316821433603781E-14</v>
      </c>
      <c r="AK85" s="14" t="e">
        <f t="shared" si="89"/>
        <v>#NUM!</v>
      </c>
      <c r="AL85" s="22" t="e">
        <f t="shared" si="58"/>
        <v>#NUM!</v>
      </c>
      <c r="AM85" s="60" t="e">
        <f t="shared" si="59"/>
        <v>#NUM!</v>
      </c>
      <c r="AN85" s="60">
        <f ca="1">AVERAGE(OFFSET($AM$3,0,0,'Données projet'!$E$10+1,1))-AVERAGE(OFFSET($H$3,0,0,'Données projet'!$E$10+1,1))</f>
        <v>274.66236526869056</v>
      </c>
      <c r="AO85" s="60">
        <f t="shared" si="90"/>
        <v>256.90876395053073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>
        <f>EXP(-LN(2)/35)*AU84+(1-EXP(-LN(2)/35))/(LN(2)/35)*AQ85*AR85*VLOOKUP('Données projet'!$B$10,Paramètres!$A$1:$I$89,3,0)*0.475*44/12</f>
        <v>0</v>
      </c>
      <c r="AV85" s="23">
        <f>EXP(-LN(2)/25)*AV84+(1-EXP(-LN(2)/25))/(LN(2)/25)*Calculateur!AQ85*Calculateur!AS85*VLOOKUP('Données projet'!$B$10,Paramètres!$A$1:$I$89,3,0)*0.475*44/12</f>
        <v>0</v>
      </c>
      <c r="AW85" s="23">
        <f>EXP(-LN(2)/2)*AW84+(1-EXP(-LN(2)/2))/(LN(2)/2)*AQ85*AT85*VLOOKUP('Données projet'!$B$10,Paramètres!$A$1:$I$89,3,0)*0.475*44/12</f>
        <v>0</v>
      </c>
      <c r="AX85" s="23">
        <f t="shared" si="60"/>
        <v>0</v>
      </c>
      <c r="AY85" s="76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6.6</v>
      </c>
      <c r="BD85" s="13">
        <f>IF('Données projet'!$A$88&gt;35,BD84+BC85-BL84,IF(A85&lt;'Données projet'!$A$88,$BA$205^A85,IF(A85='Données projet'!$A$88,'Données projet'!$B$88,BD84+BC85-BL84)))</f>
        <v>333.20000000000005</v>
      </c>
      <c r="BE85" s="14">
        <f>BD85*VLOOKUP('Données projet'!$B$11,Paramètres!$A$1:$I$89,3,0)*VLOOKUP('Données projet'!$B$11,Paramètres!$A$1:$I$89,5,0)</f>
        <v>301.47935999999999</v>
      </c>
      <c r="BF85" s="14">
        <f t="shared" si="91"/>
        <v>71.486505311225272</v>
      </c>
      <c r="BG85" s="22">
        <f t="shared" si="61"/>
        <v>649.58221541705063</v>
      </c>
      <c r="BH85" s="60">
        <f t="shared" si="62"/>
        <v>942.915548750384</v>
      </c>
      <c r="BI85" s="60">
        <f ca="1">AVERAGE(OFFSET($BH$3,0,0,'Données projet'!$E$11+1,1))-AVERAGE(OFFSET($H$3,0,0,'Données projet'!$E$11+1,1))</f>
        <v>529.25712986118265</v>
      </c>
      <c r="BJ85" s="60">
        <f t="shared" si="92"/>
        <v>278.21741231699929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>
        <f>EXP(-LN(2)/35)*BP84+(1-EXP(-LN(2)/35))/(LN(2)/35)*BL85*BM85*VLOOKUP('Données projet'!$B$11,Paramètres!$A$1:$I$89,3,0)*0.475*44/12</f>
        <v>0</v>
      </c>
      <c r="BQ85" s="23">
        <f>EXP(-LN(2)/25)*BQ84+(1-EXP(-LN(2)/25))/(LN(2)/25)*Calculateur!BL85*Calculateur!BN85*VLOOKUP('Données projet'!$B$11,Paramètres!$A$1:$I$89,3,0)*0.475*44/12</f>
        <v>0</v>
      </c>
      <c r="BR85" s="23">
        <f>EXP(-LN(2)/2)*BR84+(1-EXP(-LN(2)/2))/(LN(2)/2)*BL85*BO85*VLOOKUP('Données projet'!$B$11,Paramètres!$A$1:$I$89,3,0)*0.475*44/12</f>
        <v>0</v>
      </c>
      <c r="BS85" s="24">
        <f t="shared" si="63"/>
        <v>0</v>
      </c>
      <c r="BT85" s="77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6.6</v>
      </c>
      <c r="BY85" s="13">
        <f>IF('Données projet'!$A$114&gt;35,BY84+BX85-CG84,IF(A85&lt;'Données projet'!$A$114,$BV$205^A85,IF(A85='Données projet'!$A$114,'Données projet'!$B$114,BY84+BX85-CG84)))</f>
        <v>333.20000000000005</v>
      </c>
      <c r="BZ85" s="14">
        <f>BY85*VLOOKUP('Données projet'!$B$12,Paramètres!$A$1:$I$89,3,0)*VLOOKUP('Données projet'!$B$12,Paramètres!$A$1:$I$89,5,0)</f>
        <v>337.86480000000006</v>
      </c>
      <c r="CA85" s="14">
        <f t="shared" si="93"/>
        <v>79.058638967994398</v>
      </c>
      <c r="CB85" s="22">
        <f t="shared" si="64"/>
        <v>726.1416562025903</v>
      </c>
      <c r="CC85" s="60">
        <f t="shared" si="65"/>
        <v>1019.4749895359237</v>
      </c>
      <c r="CD85" s="60">
        <f ca="1">AVERAGE(OFFSET($CC$3,0,0,'Données projet'!$E$12+1,1))-AVERAGE(OFFSET($H$3,0,0,'Données projet'!$E$12+1,1))</f>
        <v>587.74247372331615</v>
      </c>
      <c r="CE85" s="60">
        <f t="shared" si="94"/>
        <v>306.61893266146666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>
        <f>EXP(-LN(2)/35)*CK84+(1-EXP(-LN(2)/35))/(LN(2)/35)*CG85*CH85*VLOOKUP('Données projet'!$B$12,Paramètres!$A$1:$I$89,3,0)*0.475*44/12</f>
        <v>0</v>
      </c>
      <c r="CL85" s="23">
        <f>EXP(-LN(2)/25)*CL84+(1-EXP(-LN(2)/25))/(LN(2)/25)*Calculateur!CG85*Calculateur!CI85*VLOOKUP('Données projet'!$B$12,Paramètres!$A$1:$I$89,3,0)*0.475*44/12</f>
        <v>0</v>
      </c>
      <c r="CM85" s="23">
        <f>EXP(-LN(2)/2)*CM84+(1-EXP(-LN(2)/2))/(LN(2)/2)*CG85*CJ85*VLOOKUP('Données projet'!$B$12,Paramètres!$A$1:$I$89,3,0)*0.475*44/12</f>
        <v>0</v>
      </c>
      <c r="CN85" s="24">
        <f t="shared" si="66"/>
        <v>0</v>
      </c>
      <c r="CO85" s="77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6.6</v>
      </c>
      <c r="CT85" s="13">
        <f>IF('Données projet'!$A$140&gt;35,CT84+CS85-DB84,IF(A85&lt;'Données projet'!$A$140,$CQ$205^A85,IF(A85='Données projet'!$A$140,'Données projet'!$B$140,CT84+CS85-DB84)))</f>
        <v>333.20000000000005</v>
      </c>
      <c r="CU85" s="18">
        <f>CT85*VLOOKUP('Données projet'!$B$13,Paramètres!$A$1:$I$89,3,0)*VLOOKUP('Données projet'!$B$13,Paramètres!$A$1:$I$89,5,0)</f>
        <v>358.65648000000004</v>
      </c>
      <c r="CV85" s="14">
        <f t="shared" si="95"/>
        <v>83.342427923746399</v>
      </c>
      <c r="CW85" s="22">
        <f t="shared" si="67"/>
        <v>769.81476463385832</v>
      </c>
      <c r="CX85" s="60">
        <f t="shared" si="68"/>
        <v>1063.1480979671917</v>
      </c>
      <c r="CY85" s="60">
        <f ca="1">AVERAGE(OFFSET($CX$3,0,0,'Données projet'!$E$13+1,1))-AVERAGE(OFFSET($H$3,0,0,'Données projet'!$E$13+1,1))</f>
        <v>621.10465023992288</v>
      </c>
      <c r="CZ85" s="60">
        <f t="shared" si="96"/>
        <v>322.81767004794284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>
        <f>EXP(-LN(2)/35)*DF84+(1-EXP(-LN(2)/35))/(LN(2)/35)*DB85*DC85*VLOOKUP('Données projet'!$B$13,Paramètres!$A$1:$I$89,3,0)*0.475*44/12</f>
        <v>0</v>
      </c>
      <c r="DG85" s="23">
        <f>EXP(-LN(2)/25)*DG84+(1-EXP(-LN(2)/25))/(LN(2)/25)*Calculateur!DB85*Calculateur!DD85*VLOOKUP('Données projet'!$B$13,Paramètres!$A$1:$I$89,3,0)*0.475*44/12</f>
        <v>0</v>
      </c>
      <c r="DH85" s="23">
        <f>EXP(-LN(2)/2)*DH84+(1-EXP(-LN(2)/2))/(LN(2)/2)*DB85*DE85*VLOOKUP('Données projet'!$B$13,Paramètres!$A$1:$I$89,3,0)*0.475*44/12</f>
        <v>0</v>
      </c>
      <c r="DI85" s="24">
        <f t="shared" si="69"/>
        <v>0</v>
      </c>
      <c r="DJ85" s="77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6.6</v>
      </c>
      <c r="DO85" s="13">
        <f>IF('Données projet'!$A$166&gt;35,DO84+DN85-DW84,IF(A85&lt;'Données projet'!$A$166,$DL$205^A85,IF(A85='Données projet'!$A$166,'Données projet'!$B$166,DO84+DN85-DW84)))</f>
        <v>333.20000000000005</v>
      </c>
      <c r="DP85" s="18">
        <f>DO85*VLOOKUP('Données projet'!$B$14,Paramètres!$A$1:$I$89,3,0)*VLOOKUP('Données projet'!$B$14,Paramètres!$A$1:$I$89,5,0)</f>
        <v>322.27104000000008</v>
      </c>
      <c r="DQ85" s="14">
        <f t="shared" si="97"/>
        <v>75.825693037097167</v>
      </c>
      <c r="DR85" s="22">
        <f t="shared" si="70"/>
        <v>693.35181003961088</v>
      </c>
      <c r="DS85" s="60">
        <f t="shared" si="71"/>
        <v>986.68514337294414</v>
      </c>
      <c r="DT85" s="60">
        <f ca="1">AVERAGE(OFFSET($DS$3,0,0,'Données projet'!$E$14+1,1))-AVERAGE(OFFSET($H$3,0,0,'Données projet'!$E$14+1,1))</f>
        <v>562.69380557620775</v>
      </c>
      <c r="DU85" s="60">
        <f t="shared" si="98"/>
        <v>294.45557293177131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>
        <f>EXP(-LN(2)/35)*EA84+(1-EXP(-LN(2)/35))/(LN(2)/35)*DW85*DX85*VLOOKUP('Données projet'!$B$14,Paramètres!$A$1:$I$89,3,0)*0.475*44/12</f>
        <v>0</v>
      </c>
      <c r="EB85" s="23">
        <f>EXP(-LN(2)/25)*EB84+(1-EXP(-LN(2)/25))/(LN(2)/25)*Calculateur!DW85*Calculateur!DY85*VLOOKUP('Données projet'!$B$14,Paramètres!$A$1:$I$89,3,0)*0.475*44/12</f>
        <v>0</v>
      </c>
      <c r="EC85" s="23">
        <f>EXP(-LN(2)/2)*EC84+(1-EXP(-LN(2)/2))/(LN(2)/2)*DW85*DZ85*VLOOKUP('Données projet'!$B$14,Paramètres!$A$1:$I$89,3,0)*0.475*44/12</f>
        <v>0</v>
      </c>
      <c r="ED85" s="24">
        <f t="shared" si="72"/>
        <v>0</v>
      </c>
      <c r="EE85" s="77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1.1368683772161603E-13</v>
      </c>
      <c r="EK85" s="18">
        <f>EJ85*VLOOKUP('Données projet'!$B$15,Paramètres!$A$1:$I$89,3,0)*VLOOKUP('Données projet'!$B$15,Paramètres!$A$1:$I$89,5,0)</f>
        <v>8.8675733422860506E-14</v>
      </c>
      <c r="EL85" s="14">
        <f t="shared" si="99"/>
        <v>1.3509285393066301E-12</v>
      </c>
      <c r="EM85" s="22">
        <f t="shared" si="73"/>
        <v>2.5073107750038623E-12</v>
      </c>
      <c r="EN85" s="60">
        <f t="shared" si="74"/>
        <v>293.33333333333582</v>
      </c>
      <c r="EO85" s="60">
        <f ca="1">AVERAGE(OFFSET($EN$3,0,0,'Données projet'!$E$15+1,1))-AVERAGE(OFFSET($H$3,0,0,'Données projet'!$E$15+1,1))</f>
        <v>292.57482726862594</v>
      </c>
      <c r="EP85" s="60">
        <f t="shared" si="100"/>
        <v>283.48738729114024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>
        <f>EXP(-LN(2)/35)*EV84+(1-EXP(-LN(2)/35))/(LN(2)/35)*ER85*ES85*VLOOKUP('Données projet'!$B$15,Paramètres!$A$1:$I$89,3,0)*0.475*44/12</f>
        <v>0</v>
      </c>
      <c r="EW85" s="23">
        <f>EXP(-LN(2)/25)*EW84+(1-EXP(-LN(2)/25))/(LN(2)/25)*Calculateur!ER85*Calculateur!ET85*VLOOKUP('Données projet'!$B$15,Paramètres!$A$1:$I$89,3,0)*0.475*44/12</f>
        <v>0</v>
      </c>
      <c r="EX85" s="23">
        <f>EXP(-LN(2)/2)*EX84+(1-EXP(-LN(2)/2))/(LN(2)/2)*ER85*EU85*VLOOKUP('Données projet'!$B$15,Paramètres!$A$1:$I$89,3,0)*0.475*44/12</f>
        <v>0</v>
      </c>
      <c r="EY85" s="24">
        <f t="shared" si="75"/>
        <v>0</v>
      </c>
      <c r="EZ85" s="77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0" t="e">
        <f t="shared" si="77"/>
        <v>#N/A</v>
      </c>
      <c r="FJ85" s="60" t="e">
        <f ca="1">AVERAGE(OFFSET($FI$3,0,0,'Données projet'!$E$16+1,1))-AVERAGE(OFFSET($H$3,0,0,'Données projet'!$E$16+1,1))</f>
        <v>#N/A</v>
      </c>
      <c r="FK85" s="60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77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0" t="e">
        <f t="shared" si="80"/>
        <v>#N/A</v>
      </c>
      <c r="GE85" s="60" t="e">
        <f ca="1">AVERAGE(OFFSET($GD$3,0,0,'Données projet'!$E$17+1,1))-AVERAGE(OFFSET($H$3,0,0,'Données projet'!$E$17+1,1))</f>
        <v>#N/A</v>
      </c>
      <c r="GF85" s="60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77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0" t="e">
        <f t="shared" si="83"/>
        <v>#N/A</v>
      </c>
      <c r="GZ85" s="60" t="e">
        <f ca="1">AVERAGE(OFFSET($GY$3,0,0,'Données projet'!$E$18+1,1))-AVERAGE(OFFSET($H$3,0,0,'Données projet'!$E$18+1,1))</f>
        <v>#N/A</v>
      </c>
      <c r="HA85" s="60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25">
      <c r="A86" s="11">
        <f t="shared" si="85"/>
        <v>83</v>
      </c>
      <c r="B86" s="74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2">
        <f t="shared" si="86"/>
        <v>0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0</v>
      </c>
      <c r="H86" s="67">
        <f t="shared" si="56"/>
        <v>256.66666666666669</v>
      </c>
      <c r="I86" s="7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4.2307692307692317</v>
      </c>
      <c r="N86" s="14">
        <f>IF('Données projet'!$A$36&gt;35,N85+M86-V85,IF(A86&lt;'Données projet'!$A$36,$K$205^A86,IF(A86='Données projet'!$A$36,'Données projet'!$B$36,N85+M86-V85)))</f>
        <v>235.1282051282052</v>
      </c>
      <c r="O86" s="14">
        <f>N86*VLOOKUP('Données projet'!$B$9,Paramètres!$A$1:$I$89,3,0)*VLOOKUP('Données projet'!$B$9,Paramètres!$A$1:$I$89,5,0)</f>
        <v>223.74800000000008</v>
      </c>
      <c r="P86" s="14">
        <f t="shared" si="87"/>
        <v>54.928692378995677</v>
      </c>
      <c r="Q86" s="22">
        <f t="shared" si="54"/>
        <v>485.3619058934176</v>
      </c>
      <c r="R86" s="60">
        <f t="shared" si="55"/>
        <v>778.69523922675091</v>
      </c>
      <c r="S86" s="60">
        <f ca="1">AVERAGE(OFFSET($R$3,0,0,'Données projet'!$E$9+1,1))-AVERAGE(OFFSET($H$3,0,0,'Données projet'!$E$9+1,1))</f>
        <v>403.49781966317852</v>
      </c>
      <c r="T86" s="60">
        <f t="shared" si="88"/>
        <v>326.06674572505409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0</v>
      </c>
      <c r="AA86" s="23">
        <f>EXP(-LN(2)/25)*AA85+(1-EXP(-LN(2)/25))/(LN(2)/25)*Calculateur!V86*Calculateur!X86*VLOOKUP('Données projet'!$B$9,Paramètres!$A$1:$I$89,3,0)*0.475*44/12</f>
        <v>0</v>
      </c>
      <c r="AB86" s="23">
        <f>EXP(-LN(2)/2)*AB85+(1-EXP(-LN(2)/2))/(LN(2)/2)*V86*Y86*VLOOKUP('Données projet'!$B$9,Paramètres!$A$1:$I$89,3,0)*0.475*44/12</f>
        <v>0</v>
      </c>
      <c r="AC86" s="24">
        <f t="shared" si="57"/>
        <v>0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0</v>
      </c>
      <c r="AI86" s="14">
        <f>IF('Données projet'!$A$62&gt;35,AI85+AH86-AQ85,IF(A86&lt;'Données projet'!$A$62,$AF$205^A86,IF(A86='Données projet'!$A$62,'Données projet'!$B$62,AI85+AH86-AQ85)))</f>
        <v>-1.1368683772161603E-13</v>
      </c>
      <c r="AJ86" s="14">
        <f>AI86*VLOOKUP('Données projet'!$B$10,Paramètres!$A$1:$I$89,3,0)*VLOOKUP('Données projet'!$B$10,Paramètres!$A$1:$I$89,5,0)</f>
        <v>-9.9316821433603781E-14</v>
      </c>
      <c r="AK86" s="14" t="e">
        <f t="shared" si="89"/>
        <v>#NUM!</v>
      </c>
      <c r="AL86" s="22" t="e">
        <f t="shared" si="58"/>
        <v>#NUM!</v>
      </c>
      <c r="AM86" s="60" t="e">
        <f t="shared" si="59"/>
        <v>#NUM!</v>
      </c>
      <c r="AN86" s="60">
        <f ca="1">AVERAGE(OFFSET($AM$3,0,0,'Données projet'!$E$10+1,1))-AVERAGE(OFFSET($H$3,0,0,'Données projet'!$E$10+1,1))</f>
        <v>274.66236526869056</v>
      </c>
      <c r="AO86" s="60">
        <f t="shared" si="90"/>
        <v>256.90876395053073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>
        <f>EXP(-LN(2)/35)*AU85+(1-EXP(-LN(2)/35))/(LN(2)/35)*AQ86*AR86*VLOOKUP('Données projet'!$B$10,Paramètres!$A$1:$I$89,3,0)*0.475*44/12</f>
        <v>0</v>
      </c>
      <c r="AV86" s="23">
        <f>EXP(-LN(2)/25)*AV85+(1-EXP(-LN(2)/25))/(LN(2)/25)*Calculateur!AQ86*Calculateur!AS86*VLOOKUP('Données projet'!$B$10,Paramètres!$A$1:$I$89,3,0)*0.475*44/12</f>
        <v>0</v>
      </c>
      <c r="AW86" s="23">
        <f>EXP(-LN(2)/2)*AW85+(1-EXP(-LN(2)/2))/(LN(2)/2)*AQ86*AT86*VLOOKUP('Données projet'!$B$10,Paramètres!$A$1:$I$89,3,0)*0.475*44/12</f>
        <v>0</v>
      </c>
      <c r="AX86" s="23">
        <f t="shared" si="60"/>
        <v>0</v>
      </c>
      <c r="AY86" s="76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6.6</v>
      </c>
      <c r="BD86" s="13">
        <f>IF('Données projet'!$A$88&gt;35,BD85+BC86-BL85,IF(A86&lt;'Données projet'!$A$88,$BA$205^A86,IF(A86='Données projet'!$A$88,'Données projet'!$B$88,BD85+BC86-BL85)))</f>
        <v>339.80000000000007</v>
      </c>
      <c r="BE86" s="14">
        <f>BD86*VLOOKUP('Données projet'!$B$11,Paramètres!$A$1:$I$89,3,0)*VLOOKUP('Données projet'!$B$11,Paramètres!$A$1:$I$89,5,0)</f>
        <v>307.45104000000003</v>
      </c>
      <c r="BF86" s="14">
        <f t="shared" si="91"/>
        <v>72.736250347470119</v>
      </c>
      <c r="BG86" s="22">
        <f t="shared" si="61"/>
        <v>662.15953068851047</v>
      </c>
      <c r="BH86" s="60">
        <f t="shared" si="62"/>
        <v>955.49286402184384</v>
      </c>
      <c r="BI86" s="60">
        <f ca="1">AVERAGE(OFFSET($BH$3,0,0,'Données projet'!$E$11+1,1))-AVERAGE(OFFSET($H$3,0,0,'Données projet'!$E$11+1,1))</f>
        <v>529.25712986118265</v>
      </c>
      <c r="BJ86" s="60">
        <f t="shared" si="92"/>
        <v>278.21741231699929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>
        <f>EXP(-LN(2)/35)*BP85+(1-EXP(-LN(2)/35))/(LN(2)/35)*BL86*BM86*VLOOKUP('Données projet'!$B$11,Paramètres!$A$1:$I$89,3,0)*0.475*44/12</f>
        <v>0</v>
      </c>
      <c r="BQ86" s="23">
        <f>EXP(-LN(2)/25)*BQ85+(1-EXP(-LN(2)/25))/(LN(2)/25)*Calculateur!BL86*Calculateur!BN86*VLOOKUP('Données projet'!$B$11,Paramètres!$A$1:$I$89,3,0)*0.475*44/12</f>
        <v>0</v>
      </c>
      <c r="BR86" s="23">
        <f>EXP(-LN(2)/2)*BR85+(1-EXP(-LN(2)/2))/(LN(2)/2)*BL86*BO86*VLOOKUP('Données projet'!$B$11,Paramètres!$A$1:$I$89,3,0)*0.475*44/12</f>
        <v>0</v>
      </c>
      <c r="BS86" s="24">
        <f t="shared" si="63"/>
        <v>0</v>
      </c>
      <c r="BT86" s="77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6.6</v>
      </c>
      <c r="BY86" s="13">
        <f>IF('Données projet'!$A$114&gt;35,BY85+BX86-CG85,IF(A86&lt;'Données projet'!$A$114,$BV$205^A86,IF(A86='Données projet'!$A$114,'Données projet'!$B$114,BY85+BX86-CG85)))</f>
        <v>339.80000000000007</v>
      </c>
      <c r="BZ86" s="14">
        <f>BY86*VLOOKUP('Données projet'!$B$12,Paramètres!$A$1:$I$89,3,0)*VLOOKUP('Données projet'!$B$12,Paramètres!$A$1:$I$89,5,0)</f>
        <v>344.55720000000008</v>
      </c>
      <c r="CA86" s="14">
        <f t="shared" si="93"/>
        <v>80.440761946203679</v>
      </c>
      <c r="CB86" s="22">
        <f t="shared" si="64"/>
        <v>740.20478372297146</v>
      </c>
      <c r="CC86" s="60">
        <f t="shared" si="65"/>
        <v>1033.5381170563048</v>
      </c>
      <c r="CD86" s="60">
        <f ca="1">AVERAGE(OFFSET($CC$3,0,0,'Données projet'!$E$12+1,1))-AVERAGE(OFFSET($H$3,0,0,'Données projet'!$E$12+1,1))</f>
        <v>587.74247372331615</v>
      </c>
      <c r="CE86" s="60">
        <f t="shared" si="94"/>
        <v>306.61893266146666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>
        <f>EXP(-LN(2)/35)*CK85+(1-EXP(-LN(2)/35))/(LN(2)/35)*CG86*CH86*VLOOKUP('Données projet'!$B$12,Paramètres!$A$1:$I$89,3,0)*0.475*44/12</f>
        <v>0</v>
      </c>
      <c r="CL86" s="23">
        <f>EXP(-LN(2)/25)*CL85+(1-EXP(-LN(2)/25))/(LN(2)/25)*Calculateur!CG86*Calculateur!CI86*VLOOKUP('Données projet'!$B$12,Paramètres!$A$1:$I$89,3,0)*0.475*44/12</f>
        <v>0</v>
      </c>
      <c r="CM86" s="23">
        <f>EXP(-LN(2)/2)*CM85+(1-EXP(-LN(2)/2))/(LN(2)/2)*CG86*CJ86*VLOOKUP('Données projet'!$B$12,Paramètres!$A$1:$I$89,3,0)*0.475*44/12</f>
        <v>0</v>
      </c>
      <c r="CN86" s="24">
        <f t="shared" si="66"/>
        <v>0</v>
      </c>
      <c r="CO86" s="77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6.6</v>
      </c>
      <c r="CT86" s="13">
        <f>IF('Données projet'!$A$140&gt;35,CT85+CS86-DB85,IF(A86&lt;'Données projet'!$A$140,$CQ$205^A86,IF(A86='Données projet'!$A$140,'Données projet'!$B$140,CT85+CS86-DB85)))</f>
        <v>339.80000000000007</v>
      </c>
      <c r="CU86" s="18">
        <f>CT86*VLOOKUP('Données projet'!$B$13,Paramètres!$A$1:$I$89,3,0)*VLOOKUP('Données projet'!$B$13,Paramètres!$A$1:$I$89,5,0)</f>
        <v>365.76072000000005</v>
      </c>
      <c r="CV86" s="14">
        <f t="shared" si="95"/>
        <v>84.799441176147482</v>
      </c>
      <c r="CW86" s="22">
        <f t="shared" si="67"/>
        <v>784.72561404845692</v>
      </c>
      <c r="CX86" s="60">
        <f t="shared" si="68"/>
        <v>1078.0589473817902</v>
      </c>
      <c r="CY86" s="60">
        <f ca="1">AVERAGE(OFFSET($CX$3,0,0,'Données projet'!$E$13+1,1))-AVERAGE(OFFSET($H$3,0,0,'Données projet'!$E$13+1,1))</f>
        <v>621.10465023992288</v>
      </c>
      <c r="CZ86" s="60">
        <f t="shared" si="96"/>
        <v>322.81767004794284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>
        <f>EXP(-LN(2)/35)*DF85+(1-EXP(-LN(2)/35))/(LN(2)/35)*DB86*DC86*VLOOKUP('Données projet'!$B$13,Paramètres!$A$1:$I$89,3,0)*0.475*44/12</f>
        <v>0</v>
      </c>
      <c r="DG86" s="23">
        <f>EXP(-LN(2)/25)*DG85+(1-EXP(-LN(2)/25))/(LN(2)/25)*Calculateur!DB86*Calculateur!DD86*VLOOKUP('Données projet'!$B$13,Paramètres!$A$1:$I$89,3,0)*0.475*44/12</f>
        <v>0</v>
      </c>
      <c r="DH86" s="23">
        <f>EXP(-LN(2)/2)*DH85+(1-EXP(-LN(2)/2))/(LN(2)/2)*DB86*DE86*VLOOKUP('Données projet'!$B$13,Paramètres!$A$1:$I$89,3,0)*0.475*44/12</f>
        <v>0</v>
      </c>
      <c r="DI86" s="24">
        <f t="shared" si="69"/>
        <v>0</v>
      </c>
      <c r="DJ86" s="77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6.6</v>
      </c>
      <c r="DO86" s="13">
        <f>IF('Données projet'!$A$166&gt;35,DO85+DN86-DW85,IF(A86&lt;'Données projet'!$A$166,$DL$205^A86,IF(A86='Données projet'!$A$166,'Données projet'!$B$166,DO85+DN86-DW85)))</f>
        <v>339.80000000000007</v>
      </c>
      <c r="DP86" s="18">
        <f>DO86*VLOOKUP('Données projet'!$B$14,Paramètres!$A$1:$I$89,3,0)*VLOOKUP('Données projet'!$B$14,Paramètres!$A$1:$I$89,5,0)</f>
        <v>328.65456000000006</v>
      </c>
      <c r="DQ86" s="14">
        <f t="shared" si="97"/>
        <v>77.151296842743776</v>
      </c>
      <c r="DR86" s="22">
        <f t="shared" si="70"/>
        <v>706.77853400111223</v>
      </c>
      <c r="DS86" s="60">
        <f t="shared" si="71"/>
        <v>1000.1118673344456</v>
      </c>
      <c r="DT86" s="60">
        <f ca="1">AVERAGE(OFFSET($DS$3,0,0,'Données projet'!$E$14+1,1))-AVERAGE(OFFSET($H$3,0,0,'Données projet'!$E$14+1,1))</f>
        <v>562.69380557620775</v>
      </c>
      <c r="DU86" s="60">
        <f t="shared" si="98"/>
        <v>294.45557293177131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>
        <f>EXP(-LN(2)/35)*EA85+(1-EXP(-LN(2)/35))/(LN(2)/35)*DW86*DX86*VLOOKUP('Données projet'!$B$14,Paramètres!$A$1:$I$89,3,0)*0.475*44/12</f>
        <v>0</v>
      </c>
      <c r="EB86" s="23">
        <f>EXP(-LN(2)/25)*EB85+(1-EXP(-LN(2)/25))/(LN(2)/25)*Calculateur!DW86*Calculateur!DY86*VLOOKUP('Données projet'!$B$14,Paramètres!$A$1:$I$89,3,0)*0.475*44/12</f>
        <v>0</v>
      </c>
      <c r="EC86" s="23">
        <f>EXP(-LN(2)/2)*EC85+(1-EXP(-LN(2)/2))/(LN(2)/2)*DW86*DZ86*VLOOKUP('Données projet'!$B$14,Paramètres!$A$1:$I$89,3,0)*0.475*44/12</f>
        <v>0</v>
      </c>
      <c r="ED86" s="24">
        <f t="shared" si="72"/>
        <v>0</v>
      </c>
      <c r="EE86" s="77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1.1368683772161603E-13</v>
      </c>
      <c r="EK86" s="18">
        <f>EJ86*VLOOKUP('Données projet'!$B$15,Paramètres!$A$1:$I$89,3,0)*VLOOKUP('Données projet'!$B$15,Paramètres!$A$1:$I$89,5,0)</f>
        <v>8.8675733422860506E-14</v>
      </c>
      <c r="EL86" s="14">
        <f t="shared" si="99"/>
        <v>1.3509285393066301E-12</v>
      </c>
      <c r="EM86" s="22">
        <f t="shared" si="73"/>
        <v>2.5073107750038623E-12</v>
      </c>
      <c r="EN86" s="60">
        <f t="shared" si="74"/>
        <v>293.33333333333582</v>
      </c>
      <c r="EO86" s="60">
        <f ca="1">AVERAGE(OFFSET($EN$3,0,0,'Données projet'!$E$15+1,1))-AVERAGE(OFFSET($H$3,0,0,'Données projet'!$E$15+1,1))</f>
        <v>292.57482726862594</v>
      </c>
      <c r="EP86" s="60">
        <f t="shared" si="100"/>
        <v>283.48738729114024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>
        <f>EXP(-LN(2)/35)*EV85+(1-EXP(-LN(2)/35))/(LN(2)/35)*ER86*ES86*VLOOKUP('Données projet'!$B$15,Paramètres!$A$1:$I$89,3,0)*0.475*44/12</f>
        <v>0</v>
      </c>
      <c r="EW86" s="23">
        <f>EXP(-LN(2)/25)*EW85+(1-EXP(-LN(2)/25))/(LN(2)/25)*Calculateur!ER86*Calculateur!ET86*VLOOKUP('Données projet'!$B$15,Paramètres!$A$1:$I$89,3,0)*0.475*44/12</f>
        <v>0</v>
      </c>
      <c r="EX86" s="23">
        <f>EXP(-LN(2)/2)*EX85+(1-EXP(-LN(2)/2))/(LN(2)/2)*ER86*EU86*VLOOKUP('Données projet'!$B$15,Paramètres!$A$1:$I$89,3,0)*0.475*44/12</f>
        <v>0</v>
      </c>
      <c r="EY86" s="24">
        <f t="shared" si="75"/>
        <v>0</v>
      </c>
      <c r="EZ86" s="77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0" t="e">
        <f t="shared" si="77"/>
        <v>#N/A</v>
      </c>
      <c r="FJ86" s="60" t="e">
        <f ca="1">AVERAGE(OFFSET($FI$3,0,0,'Données projet'!$E$16+1,1))-AVERAGE(OFFSET($H$3,0,0,'Données projet'!$E$16+1,1))</f>
        <v>#N/A</v>
      </c>
      <c r="FK86" s="60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77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0" t="e">
        <f t="shared" si="80"/>
        <v>#N/A</v>
      </c>
      <c r="GE86" s="60" t="e">
        <f ca="1">AVERAGE(OFFSET($GD$3,0,0,'Données projet'!$E$17+1,1))-AVERAGE(OFFSET($H$3,0,0,'Données projet'!$E$17+1,1))</f>
        <v>#N/A</v>
      </c>
      <c r="GF86" s="60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77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0" t="e">
        <f t="shared" si="83"/>
        <v>#N/A</v>
      </c>
      <c r="GZ86" s="60" t="e">
        <f ca="1">AVERAGE(OFFSET($GY$3,0,0,'Données projet'!$E$18+1,1))-AVERAGE(OFFSET($H$3,0,0,'Données projet'!$E$18+1,1))</f>
        <v>#N/A</v>
      </c>
      <c r="HA86" s="60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25">
      <c r="A87" s="11">
        <f t="shared" si="85"/>
        <v>84</v>
      </c>
      <c r="B87" s="74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2">
        <f t="shared" si="86"/>
        <v>0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0</v>
      </c>
      <c r="H87" s="67">
        <f t="shared" si="56"/>
        <v>256.66666666666669</v>
      </c>
      <c r="I87" s="7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4.2307692307692317</v>
      </c>
      <c r="N87" s="14">
        <f>IF('Données projet'!$A$36&gt;35,N86+M87-V86,IF(A87&lt;'Données projet'!$A$36,$K$205^A87,IF(A87='Données projet'!$A$36,'Données projet'!$B$36,N86+M87-V86)))</f>
        <v>239.35897435897442</v>
      </c>
      <c r="O87" s="14">
        <f>N87*VLOOKUP('Données projet'!$B$9,Paramètres!$A$1:$I$89,3,0)*VLOOKUP('Données projet'!$B$9,Paramètres!$A$1:$I$89,5,0)</f>
        <v>227.77400000000006</v>
      </c>
      <c r="P87" s="14">
        <f t="shared" si="87"/>
        <v>55.801096194172317</v>
      </c>
      <c r="Q87" s="22">
        <f t="shared" si="54"/>
        <v>493.89329253818352</v>
      </c>
      <c r="R87" s="60">
        <f t="shared" si="55"/>
        <v>787.22662587151683</v>
      </c>
      <c r="S87" s="60">
        <f ca="1">AVERAGE(OFFSET($R$3,0,0,'Données projet'!$E$9+1,1))-AVERAGE(OFFSET($H$3,0,0,'Données projet'!$E$9+1,1))</f>
        <v>403.49781966317852</v>
      </c>
      <c r="T87" s="60">
        <f t="shared" si="88"/>
        <v>326.06674572505409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0</v>
      </c>
      <c r="AA87" s="23">
        <f>EXP(-LN(2)/25)*AA86+(1-EXP(-LN(2)/25))/(LN(2)/25)*Calculateur!V87*Calculateur!X87*VLOOKUP('Données projet'!$B$9,Paramètres!$A$1:$I$89,3,0)*0.475*44/12</f>
        <v>0</v>
      </c>
      <c r="AB87" s="23">
        <f>EXP(-LN(2)/2)*AB86+(1-EXP(-LN(2)/2))/(LN(2)/2)*V87*Y87*VLOOKUP('Données projet'!$B$9,Paramètres!$A$1:$I$89,3,0)*0.475*44/12</f>
        <v>0</v>
      </c>
      <c r="AC87" s="24">
        <f t="shared" si="57"/>
        <v>0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0</v>
      </c>
      <c r="AI87" s="14">
        <f>IF('Données projet'!$A$62&gt;35,AI86+AH87-AQ86,IF(A87&lt;'Données projet'!$A$62,$AF$205^A87,IF(A87='Données projet'!$A$62,'Données projet'!$B$62,AI86+AH87-AQ86)))</f>
        <v>-1.1368683772161603E-13</v>
      </c>
      <c r="AJ87" s="14">
        <f>AI87*VLOOKUP('Données projet'!$B$10,Paramètres!$A$1:$I$89,3,0)*VLOOKUP('Données projet'!$B$10,Paramètres!$A$1:$I$89,5,0)</f>
        <v>-9.9316821433603781E-14</v>
      </c>
      <c r="AK87" s="14" t="e">
        <f t="shared" si="89"/>
        <v>#NUM!</v>
      </c>
      <c r="AL87" s="22" t="e">
        <f t="shared" si="58"/>
        <v>#NUM!</v>
      </c>
      <c r="AM87" s="60" t="e">
        <f t="shared" si="59"/>
        <v>#NUM!</v>
      </c>
      <c r="AN87" s="60">
        <f ca="1">AVERAGE(OFFSET($AM$3,0,0,'Données projet'!$E$10+1,1))-AVERAGE(OFFSET($H$3,0,0,'Données projet'!$E$10+1,1))</f>
        <v>274.66236526869056</v>
      </c>
      <c r="AO87" s="60">
        <f t="shared" si="90"/>
        <v>256.90876395053073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>
        <f>EXP(-LN(2)/35)*AU86+(1-EXP(-LN(2)/35))/(LN(2)/35)*AQ87*AR87*VLOOKUP('Données projet'!$B$10,Paramètres!$A$1:$I$89,3,0)*0.475*44/12</f>
        <v>0</v>
      </c>
      <c r="AV87" s="23">
        <f>EXP(-LN(2)/25)*AV86+(1-EXP(-LN(2)/25))/(LN(2)/25)*Calculateur!AQ87*Calculateur!AS87*VLOOKUP('Données projet'!$B$10,Paramètres!$A$1:$I$89,3,0)*0.475*44/12</f>
        <v>0</v>
      </c>
      <c r="AW87" s="23">
        <f>EXP(-LN(2)/2)*AW86+(1-EXP(-LN(2)/2))/(LN(2)/2)*AQ87*AT87*VLOOKUP('Données projet'!$B$10,Paramètres!$A$1:$I$89,3,0)*0.475*44/12</f>
        <v>0</v>
      </c>
      <c r="AX87" s="23">
        <f t="shared" si="60"/>
        <v>0</v>
      </c>
      <c r="AY87" s="76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6.6</v>
      </c>
      <c r="BD87" s="13">
        <f>IF('Données projet'!$A$88&gt;35,BD86+BC87-BL86,IF(A87&lt;'Données projet'!$A$88,$BA$205^A87,IF(A87='Données projet'!$A$88,'Données projet'!$B$88,BD86+BC87-BL86)))</f>
        <v>346.40000000000009</v>
      </c>
      <c r="BE87" s="14">
        <f>BD87*VLOOKUP('Données projet'!$B$11,Paramètres!$A$1:$I$89,3,0)*VLOOKUP('Données projet'!$B$11,Paramètres!$A$1:$I$89,5,0)</f>
        <v>313.42272000000008</v>
      </c>
      <c r="BF87" s="14">
        <f t="shared" si="91"/>
        <v>73.983172890008831</v>
      </c>
      <c r="BG87" s="22">
        <f t="shared" si="61"/>
        <v>674.73193011676551</v>
      </c>
      <c r="BH87" s="60">
        <f t="shared" si="62"/>
        <v>968.06526345009888</v>
      </c>
      <c r="BI87" s="60">
        <f ca="1">AVERAGE(OFFSET($BH$3,0,0,'Données projet'!$E$11+1,1))-AVERAGE(OFFSET($H$3,0,0,'Données projet'!$E$11+1,1))</f>
        <v>529.25712986118265</v>
      </c>
      <c r="BJ87" s="60">
        <f t="shared" si="92"/>
        <v>278.21741231699929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>
        <f>EXP(-LN(2)/35)*BP86+(1-EXP(-LN(2)/35))/(LN(2)/35)*BL87*BM87*VLOOKUP('Données projet'!$B$11,Paramètres!$A$1:$I$89,3,0)*0.475*44/12</f>
        <v>0</v>
      </c>
      <c r="BQ87" s="23">
        <f>EXP(-LN(2)/25)*BQ86+(1-EXP(-LN(2)/25))/(LN(2)/25)*Calculateur!BL87*Calculateur!BN87*VLOOKUP('Données projet'!$B$11,Paramètres!$A$1:$I$89,3,0)*0.475*44/12</f>
        <v>0</v>
      </c>
      <c r="BR87" s="23">
        <f>EXP(-LN(2)/2)*BR86+(1-EXP(-LN(2)/2))/(LN(2)/2)*BL87*BO87*VLOOKUP('Données projet'!$B$11,Paramètres!$A$1:$I$89,3,0)*0.475*44/12</f>
        <v>0</v>
      </c>
      <c r="BS87" s="24">
        <f t="shared" si="63"/>
        <v>0</v>
      </c>
      <c r="BT87" s="77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6.6</v>
      </c>
      <c r="BY87" s="13">
        <f>IF('Données projet'!$A$114&gt;35,BY86+BX87-CG86,IF(A87&lt;'Données projet'!$A$114,$BV$205^A87,IF(A87='Données projet'!$A$114,'Données projet'!$B$114,BY86+BX87-CG86)))</f>
        <v>346.40000000000009</v>
      </c>
      <c r="BZ87" s="14">
        <f>BY87*VLOOKUP('Données projet'!$B$12,Paramètres!$A$1:$I$89,3,0)*VLOOKUP('Données projet'!$B$12,Paramètres!$A$1:$I$89,5,0)</f>
        <v>351.2496000000001</v>
      </c>
      <c r="CA87" s="14">
        <f t="shared" si="93"/>
        <v>81.819763460999255</v>
      </c>
      <c r="CB87" s="22">
        <f t="shared" si="64"/>
        <v>754.26247469457383</v>
      </c>
      <c r="CC87" s="60">
        <f t="shared" si="65"/>
        <v>1047.5958080279072</v>
      </c>
      <c r="CD87" s="60">
        <f ca="1">AVERAGE(OFFSET($CC$3,0,0,'Données projet'!$E$12+1,1))-AVERAGE(OFFSET($H$3,0,0,'Données projet'!$E$12+1,1))</f>
        <v>587.74247372331615</v>
      </c>
      <c r="CE87" s="60">
        <f t="shared" si="94"/>
        <v>306.61893266146666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>
        <f>EXP(-LN(2)/35)*CK86+(1-EXP(-LN(2)/35))/(LN(2)/35)*CG87*CH87*VLOOKUP('Données projet'!$B$12,Paramètres!$A$1:$I$89,3,0)*0.475*44/12</f>
        <v>0</v>
      </c>
      <c r="CL87" s="23">
        <f>EXP(-LN(2)/25)*CL86+(1-EXP(-LN(2)/25))/(LN(2)/25)*Calculateur!CG87*Calculateur!CI87*VLOOKUP('Données projet'!$B$12,Paramètres!$A$1:$I$89,3,0)*0.475*44/12</f>
        <v>0</v>
      </c>
      <c r="CM87" s="23">
        <f>EXP(-LN(2)/2)*CM86+(1-EXP(-LN(2)/2))/(LN(2)/2)*CG87*CJ87*VLOOKUP('Données projet'!$B$12,Paramètres!$A$1:$I$89,3,0)*0.475*44/12</f>
        <v>0</v>
      </c>
      <c r="CN87" s="24">
        <f t="shared" si="66"/>
        <v>0</v>
      </c>
      <c r="CO87" s="77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6.6</v>
      </c>
      <c r="CT87" s="13">
        <f>IF('Données projet'!$A$140&gt;35,CT86+CS87-DB86,IF(A87&lt;'Données projet'!$A$140,$CQ$205^A87,IF(A87='Données projet'!$A$140,'Données projet'!$B$140,CT86+CS87-DB86)))</f>
        <v>346.40000000000009</v>
      </c>
      <c r="CU87" s="18">
        <f>CT87*VLOOKUP('Données projet'!$B$13,Paramètres!$A$1:$I$89,3,0)*VLOOKUP('Données projet'!$B$13,Paramètres!$A$1:$I$89,5,0)</f>
        <v>372.86496000000011</v>
      </c>
      <c r="CV87" s="14">
        <f t="shared" si="95"/>
        <v>86.253163828773907</v>
      </c>
      <c r="CW87" s="22">
        <f t="shared" si="67"/>
        <v>799.63073233511477</v>
      </c>
      <c r="CX87" s="60">
        <f t="shared" si="68"/>
        <v>1092.964065668448</v>
      </c>
      <c r="CY87" s="60">
        <f ca="1">AVERAGE(OFFSET($CX$3,0,0,'Données projet'!$E$13+1,1))-AVERAGE(OFFSET($H$3,0,0,'Données projet'!$E$13+1,1))</f>
        <v>621.10465023992288</v>
      </c>
      <c r="CZ87" s="60">
        <f t="shared" si="96"/>
        <v>322.81767004794284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>
        <f>EXP(-LN(2)/35)*DF86+(1-EXP(-LN(2)/35))/(LN(2)/35)*DB87*DC87*VLOOKUP('Données projet'!$B$13,Paramètres!$A$1:$I$89,3,0)*0.475*44/12</f>
        <v>0</v>
      </c>
      <c r="DG87" s="23">
        <f>EXP(-LN(2)/25)*DG86+(1-EXP(-LN(2)/25))/(LN(2)/25)*Calculateur!DB87*Calculateur!DD87*VLOOKUP('Données projet'!$B$13,Paramètres!$A$1:$I$89,3,0)*0.475*44/12</f>
        <v>0</v>
      </c>
      <c r="DH87" s="23">
        <f>EXP(-LN(2)/2)*DH86+(1-EXP(-LN(2)/2))/(LN(2)/2)*DB87*DE87*VLOOKUP('Données projet'!$B$13,Paramètres!$A$1:$I$89,3,0)*0.475*44/12</f>
        <v>0</v>
      </c>
      <c r="DI87" s="24">
        <f t="shared" si="69"/>
        <v>0</v>
      </c>
      <c r="DJ87" s="77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6.6</v>
      </c>
      <c r="DO87" s="13">
        <f>IF('Données projet'!$A$166&gt;35,DO86+DN87-DW86,IF(A87&lt;'Données projet'!$A$166,$DL$205^A87,IF(A87='Données projet'!$A$166,'Données projet'!$B$166,DO86+DN87-DW86)))</f>
        <v>346.40000000000009</v>
      </c>
      <c r="DP87" s="18">
        <f>DO87*VLOOKUP('Données projet'!$B$14,Paramètres!$A$1:$I$89,3,0)*VLOOKUP('Données projet'!$B$14,Paramètres!$A$1:$I$89,5,0)</f>
        <v>335.03808000000009</v>
      </c>
      <c r="DQ87" s="14">
        <f t="shared" si="97"/>
        <v>78.473906831019789</v>
      </c>
      <c r="DR87" s="22">
        <f t="shared" si="70"/>
        <v>720.20004373069298</v>
      </c>
      <c r="DS87" s="60">
        <f t="shared" si="71"/>
        <v>1013.5333770640264</v>
      </c>
      <c r="DT87" s="60">
        <f ca="1">AVERAGE(OFFSET($DS$3,0,0,'Données projet'!$E$14+1,1))-AVERAGE(OFFSET($H$3,0,0,'Données projet'!$E$14+1,1))</f>
        <v>562.69380557620775</v>
      </c>
      <c r="DU87" s="60">
        <f t="shared" si="98"/>
        <v>294.45557293177131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>
        <f>EXP(-LN(2)/35)*EA86+(1-EXP(-LN(2)/35))/(LN(2)/35)*DW87*DX87*VLOOKUP('Données projet'!$B$14,Paramètres!$A$1:$I$89,3,0)*0.475*44/12</f>
        <v>0</v>
      </c>
      <c r="EB87" s="23">
        <f>EXP(-LN(2)/25)*EB86+(1-EXP(-LN(2)/25))/(LN(2)/25)*Calculateur!DW87*Calculateur!DY87*VLOOKUP('Données projet'!$B$14,Paramètres!$A$1:$I$89,3,0)*0.475*44/12</f>
        <v>0</v>
      </c>
      <c r="EC87" s="23">
        <f>EXP(-LN(2)/2)*EC86+(1-EXP(-LN(2)/2))/(LN(2)/2)*DW87*DZ87*VLOOKUP('Données projet'!$B$14,Paramètres!$A$1:$I$89,3,0)*0.475*44/12</f>
        <v>0</v>
      </c>
      <c r="ED87" s="24">
        <f t="shared" si="72"/>
        <v>0</v>
      </c>
      <c r="EE87" s="77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1.1368683772161603E-13</v>
      </c>
      <c r="EK87" s="18">
        <f>EJ87*VLOOKUP('Données projet'!$B$15,Paramètres!$A$1:$I$89,3,0)*VLOOKUP('Données projet'!$B$15,Paramètres!$A$1:$I$89,5,0)</f>
        <v>8.8675733422860506E-14</v>
      </c>
      <c r="EL87" s="14">
        <f t="shared" si="99"/>
        <v>1.3509285393066301E-12</v>
      </c>
      <c r="EM87" s="22">
        <f t="shared" si="73"/>
        <v>2.5073107750038623E-12</v>
      </c>
      <c r="EN87" s="60">
        <f t="shared" si="74"/>
        <v>293.33333333333582</v>
      </c>
      <c r="EO87" s="60">
        <f ca="1">AVERAGE(OFFSET($EN$3,0,0,'Données projet'!$E$15+1,1))-AVERAGE(OFFSET($H$3,0,0,'Données projet'!$E$15+1,1))</f>
        <v>292.57482726862594</v>
      </c>
      <c r="EP87" s="60">
        <f t="shared" si="100"/>
        <v>283.48738729114024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>
        <f>EXP(-LN(2)/35)*EV86+(1-EXP(-LN(2)/35))/(LN(2)/35)*ER87*ES87*VLOOKUP('Données projet'!$B$15,Paramètres!$A$1:$I$89,3,0)*0.475*44/12</f>
        <v>0</v>
      </c>
      <c r="EW87" s="23">
        <f>EXP(-LN(2)/25)*EW86+(1-EXP(-LN(2)/25))/(LN(2)/25)*Calculateur!ER87*Calculateur!ET87*VLOOKUP('Données projet'!$B$15,Paramètres!$A$1:$I$89,3,0)*0.475*44/12</f>
        <v>0</v>
      </c>
      <c r="EX87" s="23">
        <f>EXP(-LN(2)/2)*EX86+(1-EXP(-LN(2)/2))/(LN(2)/2)*ER87*EU87*VLOOKUP('Données projet'!$B$15,Paramètres!$A$1:$I$89,3,0)*0.475*44/12</f>
        <v>0</v>
      </c>
      <c r="EY87" s="24">
        <f t="shared" si="75"/>
        <v>0</v>
      </c>
      <c r="EZ87" s="77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0" t="e">
        <f t="shared" si="77"/>
        <v>#N/A</v>
      </c>
      <c r="FJ87" s="60" t="e">
        <f ca="1">AVERAGE(OFFSET($FI$3,0,0,'Données projet'!$E$16+1,1))-AVERAGE(OFFSET($H$3,0,0,'Données projet'!$E$16+1,1))</f>
        <v>#N/A</v>
      </c>
      <c r="FK87" s="60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77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0" t="e">
        <f t="shared" si="80"/>
        <v>#N/A</v>
      </c>
      <c r="GE87" s="60" t="e">
        <f ca="1">AVERAGE(OFFSET($GD$3,0,0,'Données projet'!$E$17+1,1))-AVERAGE(OFFSET($H$3,0,0,'Données projet'!$E$17+1,1))</f>
        <v>#N/A</v>
      </c>
      <c r="GF87" s="60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77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0" t="e">
        <f t="shared" si="83"/>
        <v>#N/A</v>
      </c>
      <c r="GZ87" s="60" t="e">
        <f ca="1">AVERAGE(OFFSET($GY$3,0,0,'Données projet'!$E$18+1,1))-AVERAGE(OFFSET($H$3,0,0,'Données projet'!$E$18+1,1))</f>
        <v>#N/A</v>
      </c>
      <c r="HA87" s="60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25">
      <c r="A88" s="11">
        <f t="shared" si="85"/>
        <v>85</v>
      </c>
      <c r="B88" s="74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2">
        <f t="shared" si="86"/>
        <v>0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0</v>
      </c>
      <c r="H88" s="67">
        <f t="shared" si="56"/>
        <v>256.66666666666669</v>
      </c>
      <c r="I88" s="7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>
        <f>VLOOKUP(A88,'Données projet'!$A$35:$I$55,2,0)</f>
        <v>243.58974358974359</v>
      </c>
      <c r="L88" s="13">
        <f>VLOOKUP(A88,'Données projet'!$A$35:$I$55,9,0)</f>
        <v>4.2307692307692317</v>
      </c>
      <c r="M88" s="13">
        <f t="array" ref="M88">INDEX(L:L,MIN(IF(ISNUMBER(L88:L284),ROW(L88:L284),"")))</f>
        <v>4.2307692307692317</v>
      </c>
      <c r="N88" s="14">
        <f>IF('Données projet'!$A$36&gt;35,N87+M88-V87,IF(A88&lt;'Données projet'!$A$36,$K$205^A88,IF(A88='Données projet'!$A$36,'Données projet'!$B$36,N87+M88-V87)))</f>
        <v>243.58974358974365</v>
      </c>
      <c r="O88" s="14">
        <f>N88*VLOOKUP('Données projet'!$B$9,Paramètres!$A$1:$I$89,3,0)*VLOOKUP('Données projet'!$B$9,Paramètres!$A$1:$I$89,5,0)</f>
        <v>231.80000000000007</v>
      </c>
      <c r="P88" s="14">
        <f t="shared" si="87"/>
        <v>56.671706856213298</v>
      </c>
      <c r="Q88" s="22">
        <f t="shared" si="54"/>
        <v>502.42155610790496</v>
      </c>
      <c r="R88" s="60">
        <f t="shared" si="55"/>
        <v>795.75488944123822</v>
      </c>
      <c r="S88" s="60">
        <f ca="1">AVERAGE(OFFSET($R$3,0,0,'Données projet'!$E$9+1,1))-AVERAGE(OFFSET($H$3,0,0,'Données projet'!$E$9+1,1))</f>
        <v>403.49781966317852</v>
      </c>
      <c r="T88" s="60">
        <f t="shared" si="88"/>
        <v>326.06674572505409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0</v>
      </c>
      <c r="AA88" s="23">
        <f>EXP(-LN(2)/25)*AA87+(1-EXP(-LN(2)/25))/(LN(2)/25)*Calculateur!V88*Calculateur!X88*VLOOKUP('Données projet'!$B$9,Paramètres!$A$1:$I$89,3,0)*0.475*44/12</f>
        <v>0</v>
      </c>
      <c r="AB88" s="23">
        <f>EXP(-LN(2)/2)*AB87+(1-EXP(-LN(2)/2))/(LN(2)/2)*V88*Y88*VLOOKUP('Données projet'!$B$9,Paramètres!$A$1:$I$89,3,0)*0.475*44/12</f>
        <v>0</v>
      </c>
      <c r="AC88" s="24">
        <f t="shared" si="57"/>
        <v>0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0</v>
      </c>
      <c r="AI88" s="14">
        <f>IF('Données projet'!$A$62&gt;35,AI87+AH88-AQ87,IF(A88&lt;'Données projet'!$A$62,$AF$205^A88,IF(A88='Données projet'!$A$62,'Données projet'!$B$62,AI87+AH88-AQ87)))</f>
        <v>-1.1368683772161603E-13</v>
      </c>
      <c r="AJ88" s="14">
        <f>AI88*VLOOKUP('Données projet'!$B$10,Paramètres!$A$1:$I$89,3,0)*VLOOKUP('Données projet'!$B$10,Paramètres!$A$1:$I$89,5,0)</f>
        <v>-9.9316821433603781E-14</v>
      </c>
      <c r="AK88" s="14" t="e">
        <f t="shared" si="89"/>
        <v>#NUM!</v>
      </c>
      <c r="AL88" s="22" t="e">
        <f t="shared" si="58"/>
        <v>#NUM!</v>
      </c>
      <c r="AM88" s="60" t="e">
        <f t="shared" si="59"/>
        <v>#NUM!</v>
      </c>
      <c r="AN88" s="60">
        <f ca="1">AVERAGE(OFFSET($AM$3,0,0,'Données projet'!$E$10+1,1))-AVERAGE(OFFSET($H$3,0,0,'Données projet'!$E$10+1,1))</f>
        <v>274.66236526869056</v>
      </c>
      <c r="AO88" s="60">
        <f t="shared" si="90"/>
        <v>256.90876395053073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>
        <f>EXP(-LN(2)/35)*AU87+(1-EXP(-LN(2)/35))/(LN(2)/35)*AQ88*AR88*VLOOKUP('Données projet'!$B$10,Paramètres!$A$1:$I$89,3,0)*0.475*44/12</f>
        <v>0</v>
      </c>
      <c r="AV88" s="23">
        <f>EXP(-LN(2)/25)*AV87+(1-EXP(-LN(2)/25))/(LN(2)/25)*Calculateur!AQ88*Calculateur!AS88*VLOOKUP('Données projet'!$B$10,Paramètres!$A$1:$I$89,3,0)*0.475*44/12</f>
        <v>0</v>
      </c>
      <c r="AW88" s="23">
        <f>EXP(-LN(2)/2)*AW87+(1-EXP(-LN(2)/2))/(LN(2)/2)*AQ88*AT88*VLOOKUP('Données projet'!$B$10,Paramètres!$A$1:$I$89,3,0)*0.475*44/12</f>
        <v>0</v>
      </c>
      <c r="AX88" s="23">
        <f t="shared" si="60"/>
        <v>0</v>
      </c>
      <c r="AY88" s="76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6.6</v>
      </c>
      <c r="BD88" s="13">
        <f>IF('Données projet'!$A$88&gt;35,BD87+BC88-BL87,IF(A88&lt;'Données projet'!$A$88,$BA$205^A88,IF(A88='Données projet'!$A$88,'Données projet'!$B$88,BD87+BC88-BL87)))</f>
        <v>353.00000000000011</v>
      </c>
      <c r="BE88" s="14">
        <f>BD88*VLOOKUP('Données projet'!$B$11,Paramètres!$A$1:$I$89,3,0)*VLOOKUP('Données projet'!$B$11,Paramètres!$A$1:$I$89,5,0)</f>
        <v>319.39440000000013</v>
      </c>
      <c r="BF88" s="14">
        <f t="shared" si="91"/>
        <v>75.227332916620099</v>
      </c>
      <c r="BG88" s="22">
        <f t="shared" si="61"/>
        <v>687.29951816311348</v>
      </c>
      <c r="BH88" s="60">
        <f t="shared" si="62"/>
        <v>980.63285149644685</v>
      </c>
      <c r="BI88" s="60">
        <f ca="1">AVERAGE(OFFSET($BH$3,0,0,'Données projet'!$E$11+1,1))-AVERAGE(OFFSET($H$3,0,0,'Données projet'!$E$11+1,1))</f>
        <v>529.25712986118265</v>
      </c>
      <c r="BJ88" s="60">
        <f t="shared" si="92"/>
        <v>278.21741231699929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>
        <f>EXP(-LN(2)/35)*BP87+(1-EXP(-LN(2)/35))/(LN(2)/35)*BL88*BM88*VLOOKUP('Données projet'!$B$11,Paramètres!$A$1:$I$89,3,0)*0.475*44/12</f>
        <v>0</v>
      </c>
      <c r="BQ88" s="23">
        <f>EXP(-LN(2)/25)*BQ87+(1-EXP(-LN(2)/25))/(LN(2)/25)*Calculateur!BL88*Calculateur!BN88*VLOOKUP('Données projet'!$B$11,Paramètres!$A$1:$I$89,3,0)*0.475*44/12</f>
        <v>0</v>
      </c>
      <c r="BR88" s="23">
        <f>EXP(-LN(2)/2)*BR87+(1-EXP(-LN(2)/2))/(LN(2)/2)*BL88*BO88*VLOOKUP('Données projet'!$B$11,Paramètres!$A$1:$I$89,3,0)*0.475*44/12</f>
        <v>0</v>
      </c>
      <c r="BS88" s="24">
        <f t="shared" si="63"/>
        <v>0</v>
      </c>
      <c r="BT88" s="77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6.6</v>
      </c>
      <c r="BY88" s="13">
        <f>IF('Données projet'!$A$114&gt;35,BY87+BX88-CG87,IF(A88&lt;'Données projet'!$A$114,$BV$205^A88,IF(A88='Données projet'!$A$114,'Données projet'!$B$114,BY87+BX88-CG87)))</f>
        <v>353.00000000000011</v>
      </c>
      <c r="BZ88" s="14">
        <f>BY88*VLOOKUP('Données projet'!$B$12,Paramètres!$A$1:$I$89,3,0)*VLOOKUP('Données projet'!$B$12,Paramètres!$A$1:$I$89,5,0)</f>
        <v>357.94200000000012</v>
      </c>
      <c r="CA88" s="14">
        <f t="shared" si="93"/>
        <v>83.195709843243577</v>
      </c>
      <c r="CB88" s="22">
        <f t="shared" si="64"/>
        <v>768.31484464364928</v>
      </c>
      <c r="CC88" s="60">
        <f t="shared" si="65"/>
        <v>1061.6481779769827</v>
      </c>
      <c r="CD88" s="60">
        <f ca="1">AVERAGE(OFFSET($CC$3,0,0,'Données projet'!$E$12+1,1))-AVERAGE(OFFSET($H$3,0,0,'Données projet'!$E$12+1,1))</f>
        <v>587.74247372331615</v>
      </c>
      <c r="CE88" s="60">
        <f t="shared" si="94"/>
        <v>306.61893266146666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>
        <f>EXP(-LN(2)/35)*CK87+(1-EXP(-LN(2)/35))/(LN(2)/35)*CG88*CH88*VLOOKUP('Données projet'!$B$12,Paramètres!$A$1:$I$89,3,0)*0.475*44/12</f>
        <v>0</v>
      </c>
      <c r="CL88" s="23">
        <f>EXP(-LN(2)/25)*CL87+(1-EXP(-LN(2)/25))/(LN(2)/25)*Calculateur!CG88*Calculateur!CI88*VLOOKUP('Données projet'!$B$12,Paramètres!$A$1:$I$89,3,0)*0.475*44/12</f>
        <v>0</v>
      </c>
      <c r="CM88" s="23">
        <f>EXP(-LN(2)/2)*CM87+(1-EXP(-LN(2)/2))/(LN(2)/2)*CG88*CJ88*VLOOKUP('Données projet'!$B$12,Paramètres!$A$1:$I$89,3,0)*0.475*44/12</f>
        <v>0</v>
      </c>
      <c r="CN88" s="24">
        <f t="shared" si="66"/>
        <v>0</v>
      </c>
      <c r="CO88" s="77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6.6</v>
      </c>
      <c r="CT88" s="13">
        <f>IF('Données projet'!$A$140&gt;35,CT87+CS88-DB87,IF(A88&lt;'Données projet'!$A$140,$CQ$205^A88,IF(A88='Données projet'!$A$140,'Données projet'!$B$140,CT87+CS88-DB87)))</f>
        <v>353.00000000000011</v>
      </c>
      <c r="CU88" s="18">
        <f>CT88*VLOOKUP('Données projet'!$B$13,Paramètres!$A$1:$I$89,3,0)*VLOOKUP('Données projet'!$B$13,Paramètres!$A$1:$I$89,5,0)</f>
        <v>379.96920000000011</v>
      </c>
      <c r="CV88" s="14">
        <f t="shared" si="95"/>
        <v>87.703665806622979</v>
      </c>
      <c r="CW88" s="22">
        <f t="shared" si="67"/>
        <v>814.53024127986862</v>
      </c>
      <c r="CX88" s="60">
        <f t="shared" si="68"/>
        <v>1107.863574613202</v>
      </c>
      <c r="CY88" s="60">
        <f ca="1">AVERAGE(OFFSET($CX$3,0,0,'Données projet'!$E$13+1,1))-AVERAGE(OFFSET($H$3,0,0,'Données projet'!$E$13+1,1))</f>
        <v>621.10465023992288</v>
      </c>
      <c r="CZ88" s="60">
        <f t="shared" si="96"/>
        <v>322.81767004794284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>
        <f>EXP(-LN(2)/35)*DF87+(1-EXP(-LN(2)/35))/(LN(2)/35)*DB88*DC88*VLOOKUP('Données projet'!$B$13,Paramètres!$A$1:$I$89,3,0)*0.475*44/12</f>
        <v>0</v>
      </c>
      <c r="DG88" s="23">
        <f>EXP(-LN(2)/25)*DG87+(1-EXP(-LN(2)/25))/(LN(2)/25)*Calculateur!DB88*Calculateur!DD88*VLOOKUP('Données projet'!$B$13,Paramètres!$A$1:$I$89,3,0)*0.475*44/12</f>
        <v>0</v>
      </c>
      <c r="DH88" s="23">
        <f>EXP(-LN(2)/2)*DH87+(1-EXP(-LN(2)/2))/(LN(2)/2)*DB88*DE88*VLOOKUP('Données projet'!$B$13,Paramètres!$A$1:$I$89,3,0)*0.475*44/12</f>
        <v>0</v>
      </c>
      <c r="DI88" s="24">
        <f t="shared" si="69"/>
        <v>0</v>
      </c>
      <c r="DJ88" s="77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6.6</v>
      </c>
      <c r="DO88" s="13">
        <f>IF('Données projet'!$A$166&gt;35,DO87+DN88-DW87,IF(A88&lt;'Données projet'!$A$166,$DL$205^A88,IF(A88='Données projet'!$A$166,'Données projet'!$B$166,DO87+DN88-DW87)))</f>
        <v>353.00000000000011</v>
      </c>
      <c r="DP88" s="18">
        <f>DO88*VLOOKUP('Données projet'!$B$14,Paramètres!$A$1:$I$89,3,0)*VLOOKUP('Données projet'!$B$14,Paramètres!$A$1:$I$89,5,0)</f>
        <v>341.42160000000013</v>
      </c>
      <c r="DQ88" s="14">
        <f t="shared" si="97"/>
        <v>79.793586620318962</v>
      </c>
      <c r="DR88" s="22">
        <f t="shared" si="70"/>
        <v>733.61645003038905</v>
      </c>
      <c r="DS88" s="60">
        <f t="shared" si="71"/>
        <v>1026.9497833637224</v>
      </c>
      <c r="DT88" s="60">
        <f ca="1">AVERAGE(OFFSET($DS$3,0,0,'Données projet'!$E$14+1,1))-AVERAGE(OFFSET($H$3,0,0,'Données projet'!$E$14+1,1))</f>
        <v>562.69380557620775</v>
      </c>
      <c r="DU88" s="60">
        <f t="shared" si="98"/>
        <v>294.45557293177131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>
        <f>EXP(-LN(2)/35)*EA87+(1-EXP(-LN(2)/35))/(LN(2)/35)*DW88*DX88*VLOOKUP('Données projet'!$B$14,Paramètres!$A$1:$I$89,3,0)*0.475*44/12</f>
        <v>0</v>
      </c>
      <c r="EB88" s="23">
        <f>EXP(-LN(2)/25)*EB87+(1-EXP(-LN(2)/25))/(LN(2)/25)*Calculateur!DW88*Calculateur!DY88*VLOOKUP('Données projet'!$B$14,Paramètres!$A$1:$I$89,3,0)*0.475*44/12</f>
        <v>0</v>
      </c>
      <c r="EC88" s="23">
        <f>EXP(-LN(2)/2)*EC87+(1-EXP(-LN(2)/2))/(LN(2)/2)*DW88*DZ88*VLOOKUP('Données projet'!$B$14,Paramètres!$A$1:$I$89,3,0)*0.475*44/12</f>
        <v>0</v>
      </c>
      <c r="ED88" s="24">
        <f t="shared" si="72"/>
        <v>0</v>
      </c>
      <c r="EE88" s="77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1.1368683772161603E-13</v>
      </c>
      <c r="EK88" s="18">
        <f>EJ88*VLOOKUP('Données projet'!$B$15,Paramètres!$A$1:$I$89,3,0)*VLOOKUP('Données projet'!$B$15,Paramètres!$A$1:$I$89,5,0)</f>
        <v>8.8675733422860506E-14</v>
      </c>
      <c r="EL88" s="14">
        <f t="shared" si="99"/>
        <v>1.3509285393066301E-12</v>
      </c>
      <c r="EM88" s="22">
        <f t="shared" si="73"/>
        <v>2.5073107750038623E-12</v>
      </c>
      <c r="EN88" s="60">
        <f t="shared" si="74"/>
        <v>293.33333333333582</v>
      </c>
      <c r="EO88" s="60">
        <f ca="1">AVERAGE(OFFSET($EN$3,0,0,'Données projet'!$E$15+1,1))-AVERAGE(OFFSET($H$3,0,0,'Données projet'!$E$15+1,1))</f>
        <v>292.57482726862594</v>
      </c>
      <c r="EP88" s="60">
        <f t="shared" si="100"/>
        <v>283.48738729114024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>
        <f>EXP(-LN(2)/35)*EV87+(1-EXP(-LN(2)/35))/(LN(2)/35)*ER88*ES88*VLOOKUP('Données projet'!$B$15,Paramètres!$A$1:$I$89,3,0)*0.475*44/12</f>
        <v>0</v>
      </c>
      <c r="EW88" s="23">
        <f>EXP(-LN(2)/25)*EW87+(1-EXP(-LN(2)/25))/(LN(2)/25)*Calculateur!ER88*Calculateur!ET88*VLOOKUP('Données projet'!$B$15,Paramètres!$A$1:$I$89,3,0)*0.475*44/12</f>
        <v>0</v>
      </c>
      <c r="EX88" s="23">
        <f>EXP(-LN(2)/2)*EX87+(1-EXP(-LN(2)/2))/(LN(2)/2)*ER88*EU88*VLOOKUP('Données projet'!$B$15,Paramètres!$A$1:$I$89,3,0)*0.475*44/12</f>
        <v>0</v>
      </c>
      <c r="EY88" s="24">
        <f t="shared" si="75"/>
        <v>0</v>
      </c>
      <c r="EZ88" s="77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0" t="e">
        <f t="shared" si="77"/>
        <v>#N/A</v>
      </c>
      <c r="FJ88" s="60" t="e">
        <f ca="1">AVERAGE(OFFSET($FI$3,0,0,'Données projet'!$E$16+1,1))-AVERAGE(OFFSET($H$3,0,0,'Données projet'!$E$16+1,1))</f>
        <v>#N/A</v>
      </c>
      <c r="FK88" s="60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77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0" t="e">
        <f t="shared" si="80"/>
        <v>#N/A</v>
      </c>
      <c r="GE88" s="60" t="e">
        <f ca="1">AVERAGE(OFFSET($GD$3,0,0,'Données projet'!$E$17+1,1))-AVERAGE(OFFSET($H$3,0,0,'Données projet'!$E$17+1,1))</f>
        <v>#N/A</v>
      </c>
      <c r="GF88" s="60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77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0" t="e">
        <f t="shared" si="83"/>
        <v>#N/A</v>
      </c>
      <c r="GZ88" s="60" t="e">
        <f ca="1">AVERAGE(OFFSET($GY$3,0,0,'Données projet'!$E$18+1,1))-AVERAGE(OFFSET($H$3,0,0,'Données projet'!$E$18+1,1))</f>
        <v>#N/A</v>
      </c>
      <c r="HA88" s="60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25">
      <c r="A89" s="11">
        <f t="shared" si="85"/>
        <v>86</v>
      </c>
      <c r="B89" s="74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2">
        <f t="shared" si="86"/>
        <v>0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0</v>
      </c>
      <c r="H89" s="67">
        <f t="shared" si="56"/>
        <v>256.66666666666669</v>
      </c>
      <c r="I89" s="7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3.8461538461538454</v>
      </c>
      <c r="N89" s="14">
        <f>IF('Données projet'!$A$36&gt;35,N88+M89-V88,IF(A89&lt;'Données projet'!$A$36,$K$205^A89,IF(A89='Données projet'!$A$36,'Données projet'!$B$36,N88+M89-V88)))</f>
        <v>247.43589743589749</v>
      </c>
      <c r="O89" s="14">
        <f>N89*VLOOKUP('Données projet'!$B$9,Paramètres!$A$1:$I$89,3,0)*VLOOKUP('Données projet'!$B$9,Paramètres!$A$1:$I$89,5,0)</f>
        <v>235.46000000000004</v>
      </c>
      <c r="P89" s="14">
        <f t="shared" si="87"/>
        <v>57.46164430764604</v>
      </c>
      <c r="Q89" s="22">
        <f t="shared" si="54"/>
        <v>510.17186383581696</v>
      </c>
      <c r="R89" s="60">
        <f t="shared" si="55"/>
        <v>803.50519716915028</v>
      </c>
      <c r="S89" s="60">
        <f ca="1">AVERAGE(OFFSET($R$3,0,0,'Données projet'!$E$9+1,1))-AVERAGE(OFFSET($H$3,0,0,'Données projet'!$E$9+1,1))</f>
        <v>403.49781966317852</v>
      </c>
      <c r="T89" s="60">
        <f t="shared" si="88"/>
        <v>326.06674572505409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0</v>
      </c>
      <c r="AA89" s="23">
        <f>EXP(-LN(2)/25)*AA88+(1-EXP(-LN(2)/25))/(LN(2)/25)*Calculateur!V89*Calculateur!X89*VLOOKUP('Données projet'!$B$9,Paramètres!$A$1:$I$89,3,0)*0.475*44/12</f>
        <v>0</v>
      </c>
      <c r="AB89" s="23">
        <f>EXP(-LN(2)/2)*AB88+(1-EXP(-LN(2)/2))/(LN(2)/2)*V89*Y89*VLOOKUP('Données projet'!$B$9,Paramètres!$A$1:$I$89,3,0)*0.475*44/12</f>
        <v>0</v>
      </c>
      <c r="AC89" s="24">
        <f t="shared" si="57"/>
        <v>0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0</v>
      </c>
      <c r="AI89" s="14">
        <f>IF('Données projet'!$A$62&gt;35,AI88+AH89-AQ88,IF(A89&lt;'Données projet'!$A$62,$AF$205^A89,IF(A89='Données projet'!$A$62,'Données projet'!$B$62,AI88+AH89-AQ88)))</f>
        <v>-1.1368683772161603E-13</v>
      </c>
      <c r="AJ89" s="14">
        <f>AI89*VLOOKUP('Données projet'!$B$10,Paramètres!$A$1:$I$89,3,0)*VLOOKUP('Données projet'!$B$10,Paramètres!$A$1:$I$89,5,0)</f>
        <v>-9.9316821433603781E-14</v>
      </c>
      <c r="AK89" s="14" t="e">
        <f t="shared" si="89"/>
        <v>#NUM!</v>
      </c>
      <c r="AL89" s="22" t="e">
        <f t="shared" si="58"/>
        <v>#NUM!</v>
      </c>
      <c r="AM89" s="60" t="e">
        <f t="shared" si="59"/>
        <v>#NUM!</v>
      </c>
      <c r="AN89" s="60">
        <f ca="1">AVERAGE(OFFSET($AM$3,0,0,'Données projet'!$E$10+1,1))-AVERAGE(OFFSET($H$3,0,0,'Données projet'!$E$10+1,1))</f>
        <v>274.66236526869056</v>
      </c>
      <c r="AO89" s="60">
        <f t="shared" si="90"/>
        <v>256.90876395053073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>
        <f>EXP(-LN(2)/35)*AU88+(1-EXP(-LN(2)/35))/(LN(2)/35)*AQ89*AR89*VLOOKUP('Données projet'!$B$10,Paramètres!$A$1:$I$89,3,0)*0.475*44/12</f>
        <v>0</v>
      </c>
      <c r="AV89" s="23">
        <f>EXP(-LN(2)/25)*AV88+(1-EXP(-LN(2)/25))/(LN(2)/25)*Calculateur!AQ89*Calculateur!AS89*VLOOKUP('Données projet'!$B$10,Paramètres!$A$1:$I$89,3,0)*0.475*44/12</f>
        <v>0</v>
      </c>
      <c r="AW89" s="23">
        <f>EXP(-LN(2)/2)*AW88+(1-EXP(-LN(2)/2))/(LN(2)/2)*AQ89*AT89*VLOOKUP('Données projet'!$B$10,Paramètres!$A$1:$I$89,3,0)*0.475*44/12</f>
        <v>0</v>
      </c>
      <c r="AX89" s="23">
        <f t="shared" si="60"/>
        <v>0</v>
      </c>
      <c r="AY89" s="76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6.6</v>
      </c>
      <c r="BD89" s="13">
        <f>IF('Données projet'!$A$88&gt;35,BD88+BC89-BL88,IF(A89&lt;'Données projet'!$A$88,$BA$205^A89,IF(A89='Données projet'!$A$88,'Données projet'!$B$88,BD88+BC89-BL88)))</f>
        <v>359.60000000000014</v>
      </c>
      <c r="BE89" s="14">
        <f>BD89*VLOOKUP('Données projet'!$B$11,Paramètres!$A$1:$I$89,3,0)*VLOOKUP('Données projet'!$B$11,Paramètres!$A$1:$I$89,5,0)</f>
        <v>325.36608000000012</v>
      </c>
      <c r="BF89" s="14">
        <f t="shared" si="91"/>
        <v>76.468788033923758</v>
      </c>
      <c r="BG89" s="22">
        <f t="shared" si="61"/>
        <v>699.86239515908403</v>
      </c>
      <c r="BH89" s="60">
        <f t="shared" si="62"/>
        <v>993.1957284924174</v>
      </c>
      <c r="BI89" s="60">
        <f ca="1">AVERAGE(OFFSET($BH$3,0,0,'Données projet'!$E$11+1,1))-AVERAGE(OFFSET($H$3,0,0,'Données projet'!$E$11+1,1))</f>
        <v>529.25712986118265</v>
      </c>
      <c r="BJ89" s="60">
        <f t="shared" si="92"/>
        <v>278.21741231699929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>
        <f>EXP(-LN(2)/35)*BP88+(1-EXP(-LN(2)/35))/(LN(2)/35)*BL89*BM89*VLOOKUP('Données projet'!$B$11,Paramètres!$A$1:$I$89,3,0)*0.475*44/12</f>
        <v>0</v>
      </c>
      <c r="BQ89" s="23">
        <f>EXP(-LN(2)/25)*BQ88+(1-EXP(-LN(2)/25))/(LN(2)/25)*Calculateur!BL89*Calculateur!BN89*VLOOKUP('Données projet'!$B$11,Paramètres!$A$1:$I$89,3,0)*0.475*44/12</f>
        <v>0</v>
      </c>
      <c r="BR89" s="23">
        <f>EXP(-LN(2)/2)*BR88+(1-EXP(-LN(2)/2))/(LN(2)/2)*BL89*BO89*VLOOKUP('Données projet'!$B$11,Paramètres!$A$1:$I$89,3,0)*0.475*44/12</f>
        <v>0</v>
      </c>
      <c r="BS89" s="24">
        <f t="shared" si="63"/>
        <v>0</v>
      </c>
      <c r="BT89" s="77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6.6</v>
      </c>
      <c r="BY89" s="13">
        <f>IF('Données projet'!$A$114&gt;35,BY88+BX89-CG88,IF(A89&lt;'Données projet'!$A$114,$BV$205^A89,IF(A89='Données projet'!$A$114,'Données projet'!$B$114,BY88+BX89-CG88)))</f>
        <v>359.60000000000014</v>
      </c>
      <c r="BZ89" s="14">
        <f>BY89*VLOOKUP('Données projet'!$B$12,Paramètres!$A$1:$I$89,3,0)*VLOOKUP('Données projet'!$B$12,Paramètres!$A$1:$I$89,5,0)</f>
        <v>364.63440000000014</v>
      </c>
      <c r="CA89" s="14">
        <f t="shared" si="93"/>
        <v>84.568664801477667</v>
      </c>
      <c r="CB89" s="22">
        <f t="shared" si="64"/>
        <v>782.36200452924049</v>
      </c>
      <c r="CC89" s="60">
        <f t="shared" si="65"/>
        <v>1075.6953378625738</v>
      </c>
      <c r="CD89" s="60">
        <f ca="1">AVERAGE(OFFSET($CC$3,0,0,'Données projet'!$E$12+1,1))-AVERAGE(OFFSET($H$3,0,0,'Données projet'!$E$12+1,1))</f>
        <v>587.74247372331615</v>
      </c>
      <c r="CE89" s="60">
        <f t="shared" si="94"/>
        <v>306.61893266146666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>
        <f>EXP(-LN(2)/35)*CK88+(1-EXP(-LN(2)/35))/(LN(2)/35)*CG89*CH89*VLOOKUP('Données projet'!$B$12,Paramètres!$A$1:$I$89,3,0)*0.475*44/12</f>
        <v>0</v>
      </c>
      <c r="CL89" s="23">
        <f>EXP(-LN(2)/25)*CL88+(1-EXP(-LN(2)/25))/(LN(2)/25)*Calculateur!CG89*Calculateur!CI89*VLOOKUP('Données projet'!$B$12,Paramètres!$A$1:$I$89,3,0)*0.475*44/12</f>
        <v>0</v>
      </c>
      <c r="CM89" s="23">
        <f>EXP(-LN(2)/2)*CM88+(1-EXP(-LN(2)/2))/(LN(2)/2)*CG89*CJ89*VLOOKUP('Données projet'!$B$12,Paramètres!$A$1:$I$89,3,0)*0.475*44/12</f>
        <v>0</v>
      </c>
      <c r="CN89" s="24">
        <f t="shared" si="66"/>
        <v>0</v>
      </c>
      <c r="CO89" s="77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6.6</v>
      </c>
      <c r="CT89" s="13">
        <f>IF('Données projet'!$A$140&gt;35,CT88+CS89-DB88,IF(A89&lt;'Données projet'!$A$140,$CQ$205^A89,IF(A89='Données projet'!$A$140,'Données projet'!$B$140,CT88+CS89-DB88)))</f>
        <v>359.60000000000014</v>
      </c>
      <c r="CU89" s="18">
        <f>CT89*VLOOKUP('Données projet'!$B$13,Paramètres!$A$1:$I$89,3,0)*VLOOKUP('Données projet'!$B$13,Paramètres!$A$1:$I$89,5,0)</f>
        <v>387.07344000000012</v>
      </c>
      <c r="CV89" s="14">
        <f t="shared" si="95"/>
        <v>89.151014270280484</v>
      </c>
      <c r="CW89" s="22">
        <f t="shared" si="67"/>
        <v>829.42425785407204</v>
      </c>
      <c r="CX89" s="60">
        <f t="shared" si="68"/>
        <v>1122.7575911874053</v>
      </c>
      <c r="CY89" s="60">
        <f ca="1">AVERAGE(OFFSET($CX$3,0,0,'Données projet'!$E$13+1,1))-AVERAGE(OFFSET($H$3,0,0,'Données projet'!$E$13+1,1))</f>
        <v>621.10465023992288</v>
      </c>
      <c r="CZ89" s="60">
        <f t="shared" si="96"/>
        <v>322.81767004794284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>
        <f>EXP(-LN(2)/35)*DF88+(1-EXP(-LN(2)/35))/(LN(2)/35)*DB89*DC89*VLOOKUP('Données projet'!$B$13,Paramètres!$A$1:$I$89,3,0)*0.475*44/12</f>
        <v>0</v>
      </c>
      <c r="DG89" s="23">
        <f>EXP(-LN(2)/25)*DG88+(1-EXP(-LN(2)/25))/(LN(2)/25)*Calculateur!DB89*Calculateur!DD89*VLOOKUP('Données projet'!$B$13,Paramètres!$A$1:$I$89,3,0)*0.475*44/12</f>
        <v>0</v>
      </c>
      <c r="DH89" s="23">
        <f>EXP(-LN(2)/2)*DH88+(1-EXP(-LN(2)/2))/(LN(2)/2)*DB89*DE89*VLOOKUP('Données projet'!$B$13,Paramètres!$A$1:$I$89,3,0)*0.475*44/12</f>
        <v>0</v>
      </c>
      <c r="DI89" s="24">
        <f t="shared" si="69"/>
        <v>0</v>
      </c>
      <c r="DJ89" s="77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6.6</v>
      </c>
      <c r="DO89" s="13">
        <f>IF('Données projet'!$A$166&gt;35,DO88+DN89-DW88,IF(A89&lt;'Données projet'!$A$166,$DL$205^A89,IF(A89='Données projet'!$A$166,'Données projet'!$B$166,DO88+DN89-DW88)))</f>
        <v>359.60000000000014</v>
      </c>
      <c r="DP89" s="18">
        <f>DO89*VLOOKUP('Données projet'!$B$14,Paramètres!$A$1:$I$89,3,0)*VLOOKUP('Données projet'!$B$14,Paramètres!$A$1:$I$89,5,0)</f>
        <v>347.80512000000016</v>
      </c>
      <c r="DQ89" s="14">
        <f t="shared" si="97"/>
        <v>81.110397313948141</v>
      </c>
      <c r="DR89" s="22">
        <f t="shared" si="70"/>
        <v>747.02785932179313</v>
      </c>
      <c r="DS89" s="60">
        <f t="shared" si="71"/>
        <v>1040.3611926551264</v>
      </c>
      <c r="DT89" s="60">
        <f ca="1">AVERAGE(OFFSET($DS$3,0,0,'Données projet'!$E$14+1,1))-AVERAGE(OFFSET($H$3,0,0,'Données projet'!$E$14+1,1))</f>
        <v>562.69380557620775</v>
      </c>
      <c r="DU89" s="60">
        <f t="shared" si="98"/>
        <v>294.45557293177131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>
        <f>EXP(-LN(2)/35)*EA88+(1-EXP(-LN(2)/35))/(LN(2)/35)*DW89*DX89*VLOOKUP('Données projet'!$B$14,Paramètres!$A$1:$I$89,3,0)*0.475*44/12</f>
        <v>0</v>
      </c>
      <c r="EB89" s="23">
        <f>EXP(-LN(2)/25)*EB88+(1-EXP(-LN(2)/25))/(LN(2)/25)*Calculateur!DW89*Calculateur!DY89*VLOOKUP('Données projet'!$B$14,Paramètres!$A$1:$I$89,3,0)*0.475*44/12</f>
        <v>0</v>
      </c>
      <c r="EC89" s="23">
        <f>EXP(-LN(2)/2)*EC88+(1-EXP(-LN(2)/2))/(LN(2)/2)*DW89*DZ89*VLOOKUP('Données projet'!$B$14,Paramètres!$A$1:$I$89,3,0)*0.475*44/12</f>
        <v>0</v>
      </c>
      <c r="ED89" s="24">
        <f t="shared" si="72"/>
        <v>0</v>
      </c>
      <c r="EE89" s="77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1.1368683772161603E-13</v>
      </c>
      <c r="EK89" s="18">
        <f>EJ89*VLOOKUP('Données projet'!$B$15,Paramètres!$A$1:$I$89,3,0)*VLOOKUP('Données projet'!$B$15,Paramètres!$A$1:$I$89,5,0)</f>
        <v>8.8675733422860506E-14</v>
      </c>
      <c r="EL89" s="14">
        <f t="shared" si="99"/>
        <v>1.3509285393066301E-12</v>
      </c>
      <c r="EM89" s="22">
        <f t="shared" si="73"/>
        <v>2.5073107750038623E-12</v>
      </c>
      <c r="EN89" s="60">
        <f t="shared" si="74"/>
        <v>293.33333333333582</v>
      </c>
      <c r="EO89" s="60">
        <f ca="1">AVERAGE(OFFSET($EN$3,0,0,'Données projet'!$E$15+1,1))-AVERAGE(OFFSET($H$3,0,0,'Données projet'!$E$15+1,1))</f>
        <v>292.57482726862594</v>
      </c>
      <c r="EP89" s="60">
        <f t="shared" si="100"/>
        <v>283.48738729114024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>
        <f>EXP(-LN(2)/35)*EV88+(1-EXP(-LN(2)/35))/(LN(2)/35)*ER89*ES89*VLOOKUP('Données projet'!$B$15,Paramètres!$A$1:$I$89,3,0)*0.475*44/12</f>
        <v>0</v>
      </c>
      <c r="EW89" s="23">
        <f>EXP(-LN(2)/25)*EW88+(1-EXP(-LN(2)/25))/(LN(2)/25)*Calculateur!ER89*Calculateur!ET89*VLOOKUP('Données projet'!$B$15,Paramètres!$A$1:$I$89,3,0)*0.475*44/12</f>
        <v>0</v>
      </c>
      <c r="EX89" s="23">
        <f>EXP(-LN(2)/2)*EX88+(1-EXP(-LN(2)/2))/(LN(2)/2)*ER89*EU89*VLOOKUP('Données projet'!$B$15,Paramètres!$A$1:$I$89,3,0)*0.475*44/12</f>
        <v>0</v>
      </c>
      <c r="EY89" s="24">
        <f t="shared" si="75"/>
        <v>0</v>
      </c>
      <c r="EZ89" s="77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0" t="e">
        <f t="shared" si="77"/>
        <v>#N/A</v>
      </c>
      <c r="FJ89" s="60" t="e">
        <f ca="1">AVERAGE(OFFSET($FI$3,0,0,'Données projet'!$E$16+1,1))-AVERAGE(OFFSET($H$3,0,0,'Données projet'!$E$16+1,1))</f>
        <v>#N/A</v>
      </c>
      <c r="FK89" s="60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77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0" t="e">
        <f t="shared" si="80"/>
        <v>#N/A</v>
      </c>
      <c r="GE89" s="60" t="e">
        <f ca="1">AVERAGE(OFFSET($GD$3,0,0,'Données projet'!$E$17+1,1))-AVERAGE(OFFSET($H$3,0,0,'Données projet'!$E$17+1,1))</f>
        <v>#N/A</v>
      </c>
      <c r="GF89" s="60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77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0" t="e">
        <f t="shared" si="83"/>
        <v>#N/A</v>
      </c>
      <c r="GZ89" s="60" t="e">
        <f ca="1">AVERAGE(OFFSET($GY$3,0,0,'Données projet'!$E$18+1,1))-AVERAGE(OFFSET($H$3,0,0,'Données projet'!$E$18+1,1))</f>
        <v>#N/A</v>
      </c>
      <c r="HA89" s="60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25">
      <c r="A90" s="11">
        <f t="shared" si="85"/>
        <v>87</v>
      </c>
      <c r="B90" s="74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2">
        <f t="shared" si="86"/>
        <v>0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0</v>
      </c>
      <c r="H90" s="67">
        <f t="shared" si="56"/>
        <v>256.66666666666669</v>
      </c>
      <c r="I90" s="7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3.8461538461538454</v>
      </c>
      <c r="N90" s="14">
        <f>IF('Données projet'!$A$36&gt;35,N89+M90-V89,IF(A90&lt;'Données projet'!$A$36,$K$205^A90,IF(A90='Données projet'!$A$36,'Données projet'!$B$36,N89+M90-V89)))</f>
        <v>251.28205128205133</v>
      </c>
      <c r="O90" s="14">
        <f>N90*VLOOKUP('Données projet'!$B$9,Paramètres!$A$1:$I$89,3,0)*VLOOKUP('Données projet'!$B$9,Paramètres!$A$1:$I$89,5,0)</f>
        <v>239.12000000000003</v>
      </c>
      <c r="P90" s="14">
        <f t="shared" si="87"/>
        <v>58.25015373578745</v>
      </c>
      <c r="Q90" s="22">
        <f t="shared" si="54"/>
        <v>517.91968442316318</v>
      </c>
      <c r="R90" s="60">
        <f t="shared" si="55"/>
        <v>811.25301775649655</v>
      </c>
      <c r="S90" s="60">
        <f ca="1">AVERAGE(OFFSET($R$3,0,0,'Données projet'!$E$9+1,1))-AVERAGE(OFFSET($H$3,0,0,'Données projet'!$E$9+1,1))</f>
        <v>403.49781966317852</v>
      </c>
      <c r="T90" s="60">
        <f t="shared" si="88"/>
        <v>326.06674572505409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0</v>
      </c>
      <c r="AA90" s="23">
        <f>EXP(-LN(2)/25)*AA89+(1-EXP(-LN(2)/25))/(LN(2)/25)*Calculateur!V90*Calculateur!X90*VLOOKUP('Données projet'!$B$9,Paramètres!$A$1:$I$89,3,0)*0.475*44/12</f>
        <v>0</v>
      </c>
      <c r="AB90" s="23">
        <f>EXP(-LN(2)/2)*AB89+(1-EXP(-LN(2)/2))/(LN(2)/2)*V90*Y90*VLOOKUP('Données projet'!$B$9,Paramètres!$A$1:$I$89,3,0)*0.475*44/12</f>
        <v>0</v>
      </c>
      <c r="AC90" s="24">
        <f t="shared" si="57"/>
        <v>0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0</v>
      </c>
      <c r="AI90" s="14">
        <f>IF('Données projet'!$A$62&gt;35,AI89+AH90-AQ89,IF(A90&lt;'Données projet'!$A$62,$AF$205^A90,IF(A90='Données projet'!$A$62,'Données projet'!$B$62,AI89+AH90-AQ89)))</f>
        <v>-1.1368683772161603E-13</v>
      </c>
      <c r="AJ90" s="14">
        <f>AI90*VLOOKUP('Données projet'!$B$10,Paramètres!$A$1:$I$89,3,0)*VLOOKUP('Données projet'!$B$10,Paramètres!$A$1:$I$89,5,0)</f>
        <v>-9.9316821433603781E-14</v>
      </c>
      <c r="AK90" s="14" t="e">
        <f t="shared" si="89"/>
        <v>#NUM!</v>
      </c>
      <c r="AL90" s="22" t="e">
        <f t="shared" si="58"/>
        <v>#NUM!</v>
      </c>
      <c r="AM90" s="60" t="e">
        <f t="shared" si="59"/>
        <v>#NUM!</v>
      </c>
      <c r="AN90" s="60">
        <f ca="1">AVERAGE(OFFSET($AM$3,0,0,'Données projet'!$E$10+1,1))-AVERAGE(OFFSET($H$3,0,0,'Données projet'!$E$10+1,1))</f>
        <v>274.66236526869056</v>
      </c>
      <c r="AO90" s="60">
        <f t="shared" si="90"/>
        <v>256.90876395053073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>
        <f>EXP(-LN(2)/35)*AU89+(1-EXP(-LN(2)/35))/(LN(2)/35)*AQ90*AR90*VLOOKUP('Données projet'!$B$10,Paramètres!$A$1:$I$89,3,0)*0.475*44/12</f>
        <v>0</v>
      </c>
      <c r="AV90" s="23">
        <f>EXP(-LN(2)/25)*AV89+(1-EXP(-LN(2)/25))/(LN(2)/25)*Calculateur!AQ90*Calculateur!AS90*VLOOKUP('Données projet'!$B$10,Paramètres!$A$1:$I$89,3,0)*0.475*44/12</f>
        <v>0</v>
      </c>
      <c r="AW90" s="23">
        <f>EXP(-LN(2)/2)*AW89+(1-EXP(-LN(2)/2))/(LN(2)/2)*AQ90*AT90*VLOOKUP('Données projet'!$B$10,Paramètres!$A$1:$I$89,3,0)*0.475*44/12</f>
        <v>0</v>
      </c>
      <c r="AX90" s="23">
        <f t="shared" si="60"/>
        <v>0</v>
      </c>
      <c r="AY90" s="76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6.6</v>
      </c>
      <c r="BD90" s="13">
        <f>IF('Données projet'!$A$88&gt;35,BD89+BC90-BL89,IF(A90&lt;'Données projet'!$A$88,$BA$205^A90,IF(A90='Données projet'!$A$88,'Données projet'!$B$88,BD89+BC90-BL89)))</f>
        <v>366.20000000000016</v>
      </c>
      <c r="BE90" s="14">
        <f>BD90*VLOOKUP('Données projet'!$B$11,Paramètres!$A$1:$I$89,3,0)*VLOOKUP('Données projet'!$B$11,Paramètres!$A$1:$I$89,5,0)</f>
        <v>331.33776000000012</v>
      </c>
      <c r="BF90" s="14">
        <f t="shared" si="91"/>
        <v>77.707593612890619</v>
      </c>
      <c r="BG90" s="22">
        <f t="shared" si="61"/>
        <v>712.42065754245129</v>
      </c>
      <c r="BH90" s="60">
        <f t="shared" si="62"/>
        <v>1005.7539908757847</v>
      </c>
      <c r="BI90" s="60">
        <f ca="1">AVERAGE(OFFSET($BH$3,0,0,'Données projet'!$E$11+1,1))-AVERAGE(OFFSET($H$3,0,0,'Données projet'!$E$11+1,1))</f>
        <v>529.25712986118265</v>
      </c>
      <c r="BJ90" s="60">
        <f t="shared" si="92"/>
        <v>278.21741231699929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>
        <f>EXP(-LN(2)/35)*BP89+(1-EXP(-LN(2)/35))/(LN(2)/35)*BL90*BM90*VLOOKUP('Données projet'!$B$11,Paramètres!$A$1:$I$89,3,0)*0.475*44/12</f>
        <v>0</v>
      </c>
      <c r="BQ90" s="23">
        <f>EXP(-LN(2)/25)*BQ89+(1-EXP(-LN(2)/25))/(LN(2)/25)*Calculateur!BL90*Calculateur!BN90*VLOOKUP('Données projet'!$B$11,Paramètres!$A$1:$I$89,3,0)*0.475*44/12</f>
        <v>0</v>
      </c>
      <c r="BR90" s="23">
        <f>EXP(-LN(2)/2)*BR89+(1-EXP(-LN(2)/2))/(LN(2)/2)*BL90*BO90*VLOOKUP('Données projet'!$B$11,Paramètres!$A$1:$I$89,3,0)*0.475*44/12</f>
        <v>0</v>
      </c>
      <c r="BS90" s="24">
        <f t="shared" si="63"/>
        <v>0</v>
      </c>
      <c r="BT90" s="77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6.6</v>
      </c>
      <c r="BY90" s="13">
        <f>IF('Données projet'!$A$114&gt;35,BY89+BX90-CG89,IF(A90&lt;'Données projet'!$A$114,$BV$205^A90,IF(A90='Données projet'!$A$114,'Données projet'!$B$114,BY89+BX90-CG89)))</f>
        <v>366.20000000000016</v>
      </c>
      <c r="BZ90" s="14">
        <f>BY90*VLOOKUP('Données projet'!$B$12,Paramètres!$A$1:$I$89,3,0)*VLOOKUP('Données projet'!$B$12,Paramètres!$A$1:$I$89,5,0)</f>
        <v>371.32680000000022</v>
      </c>
      <c r="CA90" s="14">
        <f t="shared" si="93"/>
        <v>85.938689571784892</v>
      </c>
      <c r="CB90" s="22">
        <f t="shared" si="64"/>
        <v>796.40406100419239</v>
      </c>
      <c r="CC90" s="60">
        <f t="shared" si="65"/>
        <v>1089.7373943375258</v>
      </c>
      <c r="CD90" s="60">
        <f ca="1">AVERAGE(OFFSET($CC$3,0,0,'Données projet'!$E$12+1,1))-AVERAGE(OFFSET($H$3,0,0,'Données projet'!$E$12+1,1))</f>
        <v>587.74247372331615</v>
      </c>
      <c r="CE90" s="60">
        <f t="shared" si="94"/>
        <v>306.61893266146666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>
        <f>EXP(-LN(2)/35)*CK89+(1-EXP(-LN(2)/35))/(LN(2)/35)*CG90*CH90*VLOOKUP('Données projet'!$B$12,Paramètres!$A$1:$I$89,3,0)*0.475*44/12</f>
        <v>0</v>
      </c>
      <c r="CL90" s="23">
        <f>EXP(-LN(2)/25)*CL89+(1-EXP(-LN(2)/25))/(LN(2)/25)*Calculateur!CG90*Calculateur!CI90*VLOOKUP('Données projet'!$B$12,Paramètres!$A$1:$I$89,3,0)*0.475*44/12</f>
        <v>0</v>
      </c>
      <c r="CM90" s="23">
        <f>EXP(-LN(2)/2)*CM89+(1-EXP(-LN(2)/2))/(LN(2)/2)*CG90*CJ90*VLOOKUP('Données projet'!$B$12,Paramètres!$A$1:$I$89,3,0)*0.475*44/12</f>
        <v>0</v>
      </c>
      <c r="CN90" s="24">
        <f t="shared" si="66"/>
        <v>0</v>
      </c>
      <c r="CO90" s="77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6.6</v>
      </c>
      <c r="CT90" s="13">
        <f>IF('Données projet'!$A$140&gt;35,CT89+CS90-DB89,IF(A90&lt;'Données projet'!$A$140,$CQ$205^A90,IF(A90='Données projet'!$A$140,'Données projet'!$B$140,CT89+CS90-DB89)))</f>
        <v>366.20000000000016</v>
      </c>
      <c r="CU90" s="18">
        <f>CT90*VLOOKUP('Données projet'!$B$13,Paramètres!$A$1:$I$89,3,0)*VLOOKUP('Données projet'!$B$13,Paramètres!$A$1:$I$89,5,0)</f>
        <v>394.17768000000012</v>
      </c>
      <c r="CV90" s="14">
        <f t="shared" si="95"/>
        <v>90.59527377390414</v>
      </c>
      <c r="CW90" s="22">
        <f t="shared" si="67"/>
        <v>844.31289448954988</v>
      </c>
      <c r="CX90" s="60">
        <f t="shared" si="68"/>
        <v>1137.6462278228832</v>
      </c>
      <c r="CY90" s="60">
        <f ca="1">AVERAGE(OFFSET($CX$3,0,0,'Données projet'!$E$13+1,1))-AVERAGE(OFFSET($H$3,0,0,'Données projet'!$E$13+1,1))</f>
        <v>621.10465023992288</v>
      </c>
      <c r="CZ90" s="60">
        <f t="shared" si="96"/>
        <v>322.81767004794284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>
        <f>EXP(-LN(2)/35)*DF89+(1-EXP(-LN(2)/35))/(LN(2)/35)*DB90*DC90*VLOOKUP('Données projet'!$B$13,Paramètres!$A$1:$I$89,3,0)*0.475*44/12</f>
        <v>0</v>
      </c>
      <c r="DG90" s="23">
        <f>EXP(-LN(2)/25)*DG89+(1-EXP(-LN(2)/25))/(LN(2)/25)*Calculateur!DB90*Calculateur!DD90*VLOOKUP('Données projet'!$B$13,Paramètres!$A$1:$I$89,3,0)*0.475*44/12</f>
        <v>0</v>
      </c>
      <c r="DH90" s="23">
        <f>EXP(-LN(2)/2)*DH89+(1-EXP(-LN(2)/2))/(LN(2)/2)*DB90*DE90*VLOOKUP('Données projet'!$B$13,Paramètres!$A$1:$I$89,3,0)*0.475*44/12</f>
        <v>0</v>
      </c>
      <c r="DI90" s="24">
        <f t="shared" si="69"/>
        <v>0</v>
      </c>
      <c r="DJ90" s="77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6.6</v>
      </c>
      <c r="DO90" s="13">
        <f>IF('Données projet'!$A$166&gt;35,DO89+DN90-DW89,IF(A90&lt;'Données projet'!$A$166,$DL$205^A90,IF(A90='Données projet'!$A$166,'Données projet'!$B$166,DO89+DN90-DW89)))</f>
        <v>366.20000000000016</v>
      </c>
      <c r="DP90" s="18">
        <f>DO90*VLOOKUP('Données projet'!$B$14,Paramètres!$A$1:$I$89,3,0)*VLOOKUP('Données projet'!$B$14,Paramètres!$A$1:$I$89,5,0)</f>
        <v>354.18864000000013</v>
      </c>
      <c r="DQ90" s="14">
        <f t="shared" si="97"/>
        <v>82.424397643862704</v>
      </c>
      <c r="DR90" s="22">
        <f t="shared" si="70"/>
        <v>760.4343738963945</v>
      </c>
      <c r="DS90" s="60">
        <f t="shared" si="71"/>
        <v>1053.7677072297279</v>
      </c>
      <c r="DT90" s="60">
        <f ca="1">AVERAGE(OFFSET($DS$3,0,0,'Données projet'!$E$14+1,1))-AVERAGE(OFFSET($H$3,0,0,'Données projet'!$E$14+1,1))</f>
        <v>562.69380557620775</v>
      </c>
      <c r="DU90" s="60">
        <f t="shared" si="98"/>
        <v>294.45557293177131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>
        <f>EXP(-LN(2)/35)*EA89+(1-EXP(-LN(2)/35))/(LN(2)/35)*DW90*DX90*VLOOKUP('Données projet'!$B$14,Paramètres!$A$1:$I$89,3,0)*0.475*44/12</f>
        <v>0</v>
      </c>
      <c r="EB90" s="23">
        <f>EXP(-LN(2)/25)*EB89+(1-EXP(-LN(2)/25))/(LN(2)/25)*Calculateur!DW90*Calculateur!DY90*VLOOKUP('Données projet'!$B$14,Paramètres!$A$1:$I$89,3,0)*0.475*44/12</f>
        <v>0</v>
      </c>
      <c r="EC90" s="23">
        <f>EXP(-LN(2)/2)*EC89+(1-EXP(-LN(2)/2))/(LN(2)/2)*DW90*DZ90*VLOOKUP('Données projet'!$B$14,Paramètres!$A$1:$I$89,3,0)*0.475*44/12</f>
        <v>0</v>
      </c>
      <c r="ED90" s="24">
        <f t="shared" si="72"/>
        <v>0</v>
      </c>
      <c r="EE90" s="77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1.1368683772161603E-13</v>
      </c>
      <c r="EK90" s="18">
        <f>EJ90*VLOOKUP('Données projet'!$B$15,Paramètres!$A$1:$I$89,3,0)*VLOOKUP('Données projet'!$B$15,Paramètres!$A$1:$I$89,5,0)</f>
        <v>8.8675733422860506E-14</v>
      </c>
      <c r="EL90" s="14">
        <f t="shared" si="99"/>
        <v>1.3509285393066301E-12</v>
      </c>
      <c r="EM90" s="22">
        <f t="shared" si="73"/>
        <v>2.5073107750038623E-12</v>
      </c>
      <c r="EN90" s="60">
        <f t="shared" si="74"/>
        <v>293.33333333333582</v>
      </c>
      <c r="EO90" s="60">
        <f ca="1">AVERAGE(OFFSET($EN$3,0,0,'Données projet'!$E$15+1,1))-AVERAGE(OFFSET($H$3,0,0,'Données projet'!$E$15+1,1))</f>
        <v>292.57482726862594</v>
      </c>
      <c r="EP90" s="60">
        <f t="shared" si="100"/>
        <v>283.48738729114024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>
        <f>EXP(-LN(2)/35)*EV89+(1-EXP(-LN(2)/35))/(LN(2)/35)*ER90*ES90*VLOOKUP('Données projet'!$B$15,Paramètres!$A$1:$I$89,3,0)*0.475*44/12</f>
        <v>0</v>
      </c>
      <c r="EW90" s="23">
        <f>EXP(-LN(2)/25)*EW89+(1-EXP(-LN(2)/25))/(LN(2)/25)*Calculateur!ER90*Calculateur!ET90*VLOOKUP('Données projet'!$B$15,Paramètres!$A$1:$I$89,3,0)*0.475*44/12</f>
        <v>0</v>
      </c>
      <c r="EX90" s="23">
        <f>EXP(-LN(2)/2)*EX89+(1-EXP(-LN(2)/2))/(LN(2)/2)*ER90*EU90*VLOOKUP('Données projet'!$B$15,Paramètres!$A$1:$I$89,3,0)*0.475*44/12</f>
        <v>0</v>
      </c>
      <c r="EY90" s="24">
        <f t="shared" si="75"/>
        <v>0</v>
      </c>
      <c r="EZ90" s="77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0" t="e">
        <f t="shared" si="77"/>
        <v>#N/A</v>
      </c>
      <c r="FJ90" s="60" t="e">
        <f ca="1">AVERAGE(OFFSET($FI$3,0,0,'Données projet'!$E$16+1,1))-AVERAGE(OFFSET($H$3,0,0,'Données projet'!$E$16+1,1))</f>
        <v>#N/A</v>
      </c>
      <c r="FK90" s="60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77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0" t="e">
        <f t="shared" si="80"/>
        <v>#N/A</v>
      </c>
      <c r="GE90" s="60" t="e">
        <f ca="1">AVERAGE(OFFSET($GD$3,0,0,'Données projet'!$E$17+1,1))-AVERAGE(OFFSET($H$3,0,0,'Données projet'!$E$17+1,1))</f>
        <v>#N/A</v>
      </c>
      <c r="GF90" s="60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77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0" t="e">
        <f t="shared" si="83"/>
        <v>#N/A</v>
      </c>
      <c r="GZ90" s="60" t="e">
        <f ca="1">AVERAGE(OFFSET($GY$3,0,0,'Données projet'!$E$18+1,1))-AVERAGE(OFFSET($H$3,0,0,'Données projet'!$E$18+1,1))</f>
        <v>#N/A</v>
      </c>
      <c r="HA90" s="60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25">
      <c r="A91" s="11">
        <f t="shared" si="85"/>
        <v>88</v>
      </c>
      <c r="B91" s="74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2">
        <f t="shared" si="86"/>
        <v>0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0</v>
      </c>
      <c r="H91" s="67">
        <f t="shared" si="56"/>
        <v>256.66666666666669</v>
      </c>
      <c r="I91" s="7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3.8461538461538454</v>
      </c>
      <c r="N91" s="14">
        <f>IF('Données projet'!$A$36&gt;35,N90+M91-V90,IF(A91&lt;'Données projet'!$A$36,$K$205^A91,IF(A91='Données projet'!$A$36,'Données projet'!$B$36,N90+M91-V90)))</f>
        <v>255.12820512820517</v>
      </c>
      <c r="O91" s="14">
        <f>N91*VLOOKUP('Données projet'!$B$9,Paramètres!$A$1:$I$89,3,0)*VLOOKUP('Données projet'!$B$9,Paramètres!$A$1:$I$89,5,0)</f>
        <v>242.78000000000003</v>
      </c>
      <c r="P91" s="14">
        <f t="shared" si="87"/>
        <v>59.037259522542399</v>
      </c>
      <c r="Q91" s="22">
        <f t="shared" si="54"/>
        <v>525.66506033509472</v>
      </c>
      <c r="R91" s="60">
        <f t="shared" si="55"/>
        <v>818.99839366842798</v>
      </c>
      <c r="S91" s="60">
        <f ca="1">AVERAGE(OFFSET($R$3,0,0,'Données projet'!$E$9+1,1))-AVERAGE(OFFSET($H$3,0,0,'Données projet'!$E$9+1,1))</f>
        <v>403.49781966317852</v>
      </c>
      <c r="T91" s="60">
        <f t="shared" si="88"/>
        <v>326.06674572505409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0</v>
      </c>
      <c r="AA91" s="23">
        <f>EXP(-LN(2)/25)*AA90+(1-EXP(-LN(2)/25))/(LN(2)/25)*Calculateur!V91*Calculateur!X91*VLOOKUP('Données projet'!$B$9,Paramètres!$A$1:$I$89,3,0)*0.475*44/12</f>
        <v>0</v>
      </c>
      <c r="AB91" s="23">
        <f>EXP(-LN(2)/2)*AB90+(1-EXP(-LN(2)/2))/(LN(2)/2)*V91*Y91*VLOOKUP('Données projet'!$B$9,Paramètres!$A$1:$I$89,3,0)*0.475*44/12</f>
        <v>0</v>
      </c>
      <c r="AC91" s="24">
        <f t="shared" si="57"/>
        <v>0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0</v>
      </c>
      <c r="AI91" s="14">
        <f>IF('Données projet'!$A$62&gt;35,AI90+AH91-AQ90,IF(A91&lt;'Données projet'!$A$62,$AF$205^A91,IF(A91='Données projet'!$A$62,'Données projet'!$B$62,AI90+AH91-AQ90)))</f>
        <v>-1.1368683772161603E-13</v>
      </c>
      <c r="AJ91" s="14">
        <f>AI91*VLOOKUP('Données projet'!$B$10,Paramètres!$A$1:$I$89,3,0)*VLOOKUP('Données projet'!$B$10,Paramètres!$A$1:$I$89,5,0)</f>
        <v>-9.9316821433603781E-14</v>
      </c>
      <c r="AK91" s="14" t="e">
        <f t="shared" si="89"/>
        <v>#NUM!</v>
      </c>
      <c r="AL91" s="22" t="e">
        <f t="shared" si="58"/>
        <v>#NUM!</v>
      </c>
      <c r="AM91" s="60" t="e">
        <f t="shared" si="59"/>
        <v>#NUM!</v>
      </c>
      <c r="AN91" s="60">
        <f ca="1">AVERAGE(OFFSET($AM$3,0,0,'Données projet'!$E$10+1,1))-AVERAGE(OFFSET($H$3,0,0,'Données projet'!$E$10+1,1))</f>
        <v>274.66236526869056</v>
      </c>
      <c r="AO91" s="60">
        <f t="shared" si="90"/>
        <v>256.90876395053073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>
        <f>EXP(-LN(2)/35)*AU90+(1-EXP(-LN(2)/35))/(LN(2)/35)*AQ91*AR91*VLOOKUP('Données projet'!$B$10,Paramètres!$A$1:$I$89,3,0)*0.475*44/12</f>
        <v>0</v>
      </c>
      <c r="AV91" s="23">
        <f>EXP(-LN(2)/25)*AV90+(1-EXP(-LN(2)/25))/(LN(2)/25)*Calculateur!AQ91*Calculateur!AS91*VLOOKUP('Données projet'!$B$10,Paramètres!$A$1:$I$89,3,0)*0.475*44/12</f>
        <v>0</v>
      </c>
      <c r="AW91" s="23">
        <f>EXP(-LN(2)/2)*AW90+(1-EXP(-LN(2)/2))/(LN(2)/2)*AQ91*AT91*VLOOKUP('Données projet'!$B$10,Paramètres!$A$1:$I$89,3,0)*0.475*44/12</f>
        <v>0</v>
      </c>
      <c r="AX91" s="23">
        <f t="shared" si="60"/>
        <v>0</v>
      </c>
      <c r="AY91" s="76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6.6</v>
      </c>
      <c r="BD91" s="13">
        <f>IF('Données projet'!$A$88&gt;35,BD90+BC91-BL90,IF(A91&lt;'Données projet'!$A$88,$BA$205^A91,IF(A91='Données projet'!$A$88,'Données projet'!$B$88,BD90+BC91-BL90)))</f>
        <v>372.80000000000018</v>
      </c>
      <c r="BE91" s="14">
        <f>BD91*VLOOKUP('Données projet'!$B$11,Paramètres!$A$1:$I$89,3,0)*VLOOKUP('Données projet'!$B$11,Paramètres!$A$1:$I$89,5,0)</f>
        <v>337.30944000000017</v>
      </c>
      <c r="BF91" s="14">
        <f t="shared" si="91"/>
        <v>78.943802914307284</v>
      </c>
      <c r="BG91" s="22">
        <f t="shared" si="61"/>
        <v>724.97439807575211</v>
      </c>
      <c r="BH91" s="60">
        <f t="shared" si="62"/>
        <v>1018.3077314090854</v>
      </c>
      <c r="BI91" s="60">
        <f ca="1">AVERAGE(OFFSET($BH$3,0,0,'Données projet'!$E$11+1,1))-AVERAGE(OFFSET($H$3,0,0,'Données projet'!$E$11+1,1))</f>
        <v>529.25712986118265</v>
      </c>
      <c r="BJ91" s="60">
        <f t="shared" si="92"/>
        <v>278.21741231699929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>
        <f>EXP(-LN(2)/35)*BP90+(1-EXP(-LN(2)/35))/(LN(2)/35)*BL91*BM91*VLOOKUP('Données projet'!$B$11,Paramètres!$A$1:$I$89,3,0)*0.475*44/12</f>
        <v>0</v>
      </c>
      <c r="BQ91" s="23">
        <f>EXP(-LN(2)/25)*BQ90+(1-EXP(-LN(2)/25))/(LN(2)/25)*Calculateur!BL91*Calculateur!BN91*VLOOKUP('Données projet'!$B$11,Paramètres!$A$1:$I$89,3,0)*0.475*44/12</f>
        <v>0</v>
      </c>
      <c r="BR91" s="23">
        <f>EXP(-LN(2)/2)*BR90+(1-EXP(-LN(2)/2))/(LN(2)/2)*BL91*BO91*VLOOKUP('Données projet'!$B$11,Paramètres!$A$1:$I$89,3,0)*0.475*44/12</f>
        <v>0</v>
      </c>
      <c r="BS91" s="24">
        <f t="shared" si="63"/>
        <v>0</v>
      </c>
      <c r="BT91" s="77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6.6</v>
      </c>
      <c r="BY91" s="13">
        <f>IF('Données projet'!$A$114&gt;35,BY90+BX91-CG90,IF(A91&lt;'Données projet'!$A$114,$BV$205^A91,IF(A91='Données projet'!$A$114,'Données projet'!$B$114,BY90+BX91-CG90)))</f>
        <v>372.80000000000018</v>
      </c>
      <c r="BZ91" s="14">
        <f>BY91*VLOOKUP('Données projet'!$B$12,Paramètres!$A$1:$I$89,3,0)*VLOOKUP('Données projet'!$B$12,Paramètres!$A$1:$I$89,5,0)</f>
        <v>378.01920000000024</v>
      </c>
      <c r="CA91" s="14">
        <f t="shared" si="93"/>
        <v>87.305843056545257</v>
      </c>
      <c r="CB91" s="22">
        <f t="shared" si="64"/>
        <v>810.44111665681669</v>
      </c>
      <c r="CC91" s="60">
        <f t="shared" si="65"/>
        <v>1103.7744499901501</v>
      </c>
      <c r="CD91" s="60">
        <f ca="1">AVERAGE(OFFSET($CC$3,0,0,'Données projet'!$E$12+1,1))-AVERAGE(OFFSET($H$3,0,0,'Données projet'!$E$12+1,1))</f>
        <v>587.74247372331615</v>
      </c>
      <c r="CE91" s="60">
        <f t="shared" si="94"/>
        <v>306.61893266146666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>
        <f>EXP(-LN(2)/35)*CK90+(1-EXP(-LN(2)/35))/(LN(2)/35)*CG91*CH91*VLOOKUP('Données projet'!$B$12,Paramètres!$A$1:$I$89,3,0)*0.475*44/12</f>
        <v>0</v>
      </c>
      <c r="CL91" s="23">
        <f>EXP(-LN(2)/25)*CL90+(1-EXP(-LN(2)/25))/(LN(2)/25)*Calculateur!CG91*Calculateur!CI91*VLOOKUP('Données projet'!$B$12,Paramètres!$A$1:$I$89,3,0)*0.475*44/12</f>
        <v>0</v>
      </c>
      <c r="CM91" s="23">
        <f>EXP(-LN(2)/2)*CM90+(1-EXP(-LN(2)/2))/(LN(2)/2)*CG91*CJ91*VLOOKUP('Données projet'!$B$12,Paramètres!$A$1:$I$89,3,0)*0.475*44/12</f>
        <v>0</v>
      </c>
      <c r="CN91" s="24">
        <f t="shared" si="66"/>
        <v>0</v>
      </c>
      <c r="CO91" s="77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6.6</v>
      </c>
      <c r="CT91" s="13">
        <f>IF('Données projet'!$A$140&gt;35,CT90+CS91-DB90,IF(A91&lt;'Données projet'!$A$140,$CQ$205^A91,IF(A91='Données projet'!$A$140,'Données projet'!$B$140,CT90+CS91-DB90)))</f>
        <v>372.80000000000018</v>
      </c>
      <c r="CU91" s="18">
        <f>CT91*VLOOKUP('Données projet'!$B$13,Paramètres!$A$1:$I$89,3,0)*VLOOKUP('Données projet'!$B$13,Paramètres!$A$1:$I$89,5,0)</f>
        <v>401.28192000000013</v>
      </c>
      <c r="CV91" s="14">
        <f t="shared" si="95"/>
        <v>92.036506411496944</v>
      </c>
      <c r="CW91" s="22">
        <f t="shared" si="67"/>
        <v>859.19625933335737</v>
      </c>
      <c r="CX91" s="60">
        <f t="shared" si="68"/>
        <v>1152.5295926666906</v>
      </c>
      <c r="CY91" s="60">
        <f ca="1">AVERAGE(OFFSET($CX$3,0,0,'Données projet'!$E$13+1,1))-AVERAGE(OFFSET($H$3,0,0,'Données projet'!$E$13+1,1))</f>
        <v>621.10465023992288</v>
      </c>
      <c r="CZ91" s="60">
        <f t="shared" si="96"/>
        <v>322.81767004794284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>
        <f>EXP(-LN(2)/35)*DF90+(1-EXP(-LN(2)/35))/(LN(2)/35)*DB91*DC91*VLOOKUP('Données projet'!$B$13,Paramètres!$A$1:$I$89,3,0)*0.475*44/12</f>
        <v>0</v>
      </c>
      <c r="DG91" s="23">
        <f>EXP(-LN(2)/25)*DG90+(1-EXP(-LN(2)/25))/(LN(2)/25)*Calculateur!DB91*Calculateur!DD91*VLOOKUP('Données projet'!$B$13,Paramètres!$A$1:$I$89,3,0)*0.475*44/12</f>
        <v>0</v>
      </c>
      <c r="DH91" s="23">
        <f>EXP(-LN(2)/2)*DH90+(1-EXP(-LN(2)/2))/(LN(2)/2)*DB91*DE91*VLOOKUP('Données projet'!$B$13,Paramètres!$A$1:$I$89,3,0)*0.475*44/12</f>
        <v>0</v>
      </c>
      <c r="DI91" s="24">
        <f t="shared" si="69"/>
        <v>0</v>
      </c>
      <c r="DJ91" s="77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6.6</v>
      </c>
      <c r="DO91" s="13">
        <f>IF('Données projet'!$A$166&gt;35,DO90+DN91-DW90,IF(A91&lt;'Données projet'!$A$166,$DL$205^A91,IF(A91='Données projet'!$A$166,'Données projet'!$B$166,DO90+DN91-DW90)))</f>
        <v>372.80000000000018</v>
      </c>
      <c r="DP91" s="18">
        <f>DO91*VLOOKUP('Données projet'!$B$14,Paramètres!$A$1:$I$89,3,0)*VLOOKUP('Données projet'!$B$14,Paramètres!$A$1:$I$89,5,0)</f>
        <v>360.57216000000017</v>
      </c>
      <c r="DQ91" s="14">
        <f t="shared" si="97"/>
        <v>83.735644103746736</v>
      </c>
      <c r="DR91" s="22">
        <f t="shared" si="70"/>
        <v>773.83609214735907</v>
      </c>
      <c r="DS91" s="60">
        <f t="shared" si="71"/>
        <v>1067.1694254806923</v>
      </c>
      <c r="DT91" s="60">
        <f ca="1">AVERAGE(OFFSET($DS$3,0,0,'Données projet'!$E$14+1,1))-AVERAGE(OFFSET($H$3,0,0,'Données projet'!$E$14+1,1))</f>
        <v>562.69380557620775</v>
      </c>
      <c r="DU91" s="60">
        <f t="shared" si="98"/>
        <v>294.45557293177131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>
        <f>EXP(-LN(2)/35)*EA90+(1-EXP(-LN(2)/35))/(LN(2)/35)*DW91*DX91*VLOOKUP('Données projet'!$B$14,Paramètres!$A$1:$I$89,3,0)*0.475*44/12</f>
        <v>0</v>
      </c>
      <c r="EB91" s="23">
        <f>EXP(-LN(2)/25)*EB90+(1-EXP(-LN(2)/25))/(LN(2)/25)*Calculateur!DW91*Calculateur!DY91*VLOOKUP('Données projet'!$B$14,Paramètres!$A$1:$I$89,3,0)*0.475*44/12</f>
        <v>0</v>
      </c>
      <c r="EC91" s="23">
        <f>EXP(-LN(2)/2)*EC90+(1-EXP(-LN(2)/2))/(LN(2)/2)*DW91*DZ91*VLOOKUP('Données projet'!$B$14,Paramètres!$A$1:$I$89,3,0)*0.475*44/12</f>
        <v>0</v>
      </c>
      <c r="ED91" s="24">
        <f t="shared" si="72"/>
        <v>0</v>
      </c>
      <c r="EE91" s="77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1.1368683772161603E-13</v>
      </c>
      <c r="EK91" s="18">
        <f>EJ91*VLOOKUP('Données projet'!$B$15,Paramètres!$A$1:$I$89,3,0)*VLOOKUP('Données projet'!$B$15,Paramètres!$A$1:$I$89,5,0)</f>
        <v>8.8675733422860506E-14</v>
      </c>
      <c r="EL91" s="14">
        <f t="shared" si="99"/>
        <v>1.3509285393066301E-12</v>
      </c>
      <c r="EM91" s="22">
        <f t="shared" si="73"/>
        <v>2.5073107750038623E-12</v>
      </c>
      <c r="EN91" s="60">
        <f t="shared" si="74"/>
        <v>293.33333333333582</v>
      </c>
      <c r="EO91" s="60">
        <f ca="1">AVERAGE(OFFSET($EN$3,0,0,'Données projet'!$E$15+1,1))-AVERAGE(OFFSET($H$3,0,0,'Données projet'!$E$15+1,1))</f>
        <v>292.57482726862594</v>
      </c>
      <c r="EP91" s="60">
        <f t="shared" si="100"/>
        <v>283.48738729114024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>
        <f>EXP(-LN(2)/35)*EV90+(1-EXP(-LN(2)/35))/(LN(2)/35)*ER91*ES91*VLOOKUP('Données projet'!$B$15,Paramètres!$A$1:$I$89,3,0)*0.475*44/12</f>
        <v>0</v>
      </c>
      <c r="EW91" s="23">
        <f>EXP(-LN(2)/25)*EW90+(1-EXP(-LN(2)/25))/(LN(2)/25)*Calculateur!ER91*Calculateur!ET91*VLOOKUP('Données projet'!$B$15,Paramètres!$A$1:$I$89,3,0)*0.475*44/12</f>
        <v>0</v>
      </c>
      <c r="EX91" s="23">
        <f>EXP(-LN(2)/2)*EX90+(1-EXP(-LN(2)/2))/(LN(2)/2)*ER91*EU91*VLOOKUP('Données projet'!$B$15,Paramètres!$A$1:$I$89,3,0)*0.475*44/12</f>
        <v>0</v>
      </c>
      <c r="EY91" s="24">
        <f t="shared" si="75"/>
        <v>0</v>
      </c>
      <c r="EZ91" s="77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0" t="e">
        <f t="shared" si="77"/>
        <v>#N/A</v>
      </c>
      <c r="FJ91" s="60" t="e">
        <f ca="1">AVERAGE(OFFSET($FI$3,0,0,'Données projet'!$E$16+1,1))-AVERAGE(OFFSET($H$3,0,0,'Données projet'!$E$16+1,1))</f>
        <v>#N/A</v>
      </c>
      <c r="FK91" s="60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77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0" t="e">
        <f t="shared" si="80"/>
        <v>#N/A</v>
      </c>
      <c r="GE91" s="60" t="e">
        <f ca="1">AVERAGE(OFFSET($GD$3,0,0,'Données projet'!$E$17+1,1))-AVERAGE(OFFSET($H$3,0,0,'Données projet'!$E$17+1,1))</f>
        <v>#N/A</v>
      </c>
      <c r="GF91" s="60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77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0" t="e">
        <f t="shared" si="83"/>
        <v>#N/A</v>
      </c>
      <c r="GZ91" s="60" t="e">
        <f ca="1">AVERAGE(OFFSET($GY$3,0,0,'Données projet'!$E$18+1,1))-AVERAGE(OFFSET($H$3,0,0,'Données projet'!$E$18+1,1))</f>
        <v>#N/A</v>
      </c>
      <c r="HA91" s="60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25">
      <c r="A92" s="11">
        <f t="shared" si="85"/>
        <v>89</v>
      </c>
      <c r="B92" s="74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2">
        <f t="shared" si="86"/>
        <v>0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0</v>
      </c>
      <c r="H92" s="67">
        <f t="shared" si="56"/>
        <v>256.66666666666669</v>
      </c>
      <c r="I92" s="7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3.8461538461538454</v>
      </c>
      <c r="N92" s="14">
        <f>IF('Données projet'!$A$36&gt;35,N91+M92-V91,IF(A92&lt;'Données projet'!$A$36,$K$205^A92,IF(A92='Données projet'!$A$36,'Données projet'!$B$36,N91+M92-V91)))</f>
        <v>258.97435897435901</v>
      </c>
      <c r="O92" s="14">
        <f>N92*VLOOKUP('Données projet'!$B$9,Paramètres!$A$1:$I$89,3,0)*VLOOKUP('Données projet'!$B$9,Paramètres!$A$1:$I$89,5,0)</f>
        <v>246.44000000000003</v>
      </c>
      <c r="P92" s="14">
        <f t="shared" si="87"/>
        <v>59.822985272492645</v>
      </c>
      <c r="Q92" s="22">
        <f t="shared" si="54"/>
        <v>533.40803268292461</v>
      </c>
      <c r="R92" s="60">
        <f t="shared" si="55"/>
        <v>826.74136601625787</v>
      </c>
      <c r="S92" s="60">
        <f ca="1">AVERAGE(OFFSET($R$3,0,0,'Données projet'!$E$9+1,1))-AVERAGE(OFFSET($H$3,0,0,'Données projet'!$E$9+1,1))</f>
        <v>403.49781966317852</v>
      </c>
      <c r="T92" s="60">
        <f t="shared" si="88"/>
        <v>326.06674572505409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0</v>
      </c>
      <c r="AA92" s="23">
        <f>EXP(-LN(2)/25)*AA91+(1-EXP(-LN(2)/25))/(LN(2)/25)*Calculateur!V92*Calculateur!X92*VLOOKUP('Données projet'!$B$9,Paramètres!$A$1:$I$89,3,0)*0.475*44/12</f>
        <v>0</v>
      </c>
      <c r="AB92" s="23">
        <f>EXP(-LN(2)/2)*AB91+(1-EXP(-LN(2)/2))/(LN(2)/2)*V92*Y92*VLOOKUP('Données projet'!$B$9,Paramètres!$A$1:$I$89,3,0)*0.475*44/12</f>
        <v>0</v>
      </c>
      <c r="AC92" s="24">
        <f t="shared" si="57"/>
        <v>0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0</v>
      </c>
      <c r="AI92" s="14">
        <f>IF('Données projet'!$A$62&gt;35,AI91+AH92-AQ91,IF(A92&lt;'Données projet'!$A$62,$AF$205^A92,IF(A92='Données projet'!$A$62,'Données projet'!$B$62,AI91+AH92-AQ91)))</f>
        <v>-1.1368683772161603E-13</v>
      </c>
      <c r="AJ92" s="14">
        <f>AI92*VLOOKUP('Données projet'!$B$10,Paramètres!$A$1:$I$89,3,0)*VLOOKUP('Données projet'!$B$10,Paramètres!$A$1:$I$89,5,0)</f>
        <v>-9.9316821433603781E-14</v>
      </c>
      <c r="AK92" s="14" t="e">
        <f t="shared" si="89"/>
        <v>#NUM!</v>
      </c>
      <c r="AL92" s="22" t="e">
        <f t="shared" si="58"/>
        <v>#NUM!</v>
      </c>
      <c r="AM92" s="60" t="e">
        <f t="shared" si="59"/>
        <v>#NUM!</v>
      </c>
      <c r="AN92" s="60">
        <f ca="1">AVERAGE(OFFSET($AM$3,0,0,'Données projet'!$E$10+1,1))-AVERAGE(OFFSET($H$3,0,0,'Données projet'!$E$10+1,1))</f>
        <v>274.66236526869056</v>
      </c>
      <c r="AO92" s="60">
        <f t="shared" si="90"/>
        <v>256.90876395053073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>
        <f>EXP(-LN(2)/35)*AU91+(1-EXP(-LN(2)/35))/(LN(2)/35)*AQ92*AR92*VLOOKUP('Données projet'!$B$10,Paramètres!$A$1:$I$89,3,0)*0.475*44/12</f>
        <v>0</v>
      </c>
      <c r="AV92" s="23">
        <f>EXP(-LN(2)/25)*AV91+(1-EXP(-LN(2)/25))/(LN(2)/25)*Calculateur!AQ92*Calculateur!AS92*VLOOKUP('Données projet'!$B$10,Paramètres!$A$1:$I$89,3,0)*0.475*44/12</f>
        <v>0</v>
      </c>
      <c r="AW92" s="23">
        <f>EXP(-LN(2)/2)*AW91+(1-EXP(-LN(2)/2))/(LN(2)/2)*AQ92*AT92*VLOOKUP('Données projet'!$B$10,Paramètres!$A$1:$I$89,3,0)*0.475*44/12</f>
        <v>0</v>
      </c>
      <c r="AX92" s="23">
        <f t="shared" si="60"/>
        <v>0</v>
      </c>
      <c r="AY92" s="76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6.6</v>
      </c>
      <c r="BD92" s="13">
        <f>IF('Données projet'!$A$88&gt;35,BD91+BC92-BL91,IF(A92&lt;'Données projet'!$A$88,$BA$205^A92,IF(A92='Données projet'!$A$88,'Données projet'!$B$88,BD91+BC92-BL91)))</f>
        <v>379.4000000000002</v>
      </c>
      <c r="BE92" s="14">
        <f>BD92*VLOOKUP('Données projet'!$B$11,Paramètres!$A$1:$I$89,3,0)*VLOOKUP('Données projet'!$B$11,Paramètres!$A$1:$I$89,5,0)</f>
        <v>343.28112000000016</v>
      </c>
      <c r="BF92" s="14">
        <f t="shared" si="91"/>
        <v>80.17746720510398</v>
      </c>
      <c r="BG92" s="22">
        <f t="shared" si="61"/>
        <v>737.52370604888972</v>
      </c>
      <c r="BH92" s="60">
        <f t="shared" si="62"/>
        <v>1030.8570393822231</v>
      </c>
      <c r="BI92" s="60">
        <f ca="1">AVERAGE(OFFSET($BH$3,0,0,'Données projet'!$E$11+1,1))-AVERAGE(OFFSET($H$3,0,0,'Données projet'!$E$11+1,1))</f>
        <v>529.25712986118265</v>
      </c>
      <c r="BJ92" s="60">
        <f t="shared" si="92"/>
        <v>278.21741231699929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>
        <f>EXP(-LN(2)/35)*BP91+(1-EXP(-LN(2)/35))/(LN(2)/35)*BL92*BM92*VLOOKUP('Données projet'!$B$11,Paramètres!$A$1:$I$89,3,0)*0.475*44/12</f>
        <v>0</v>
      </c>
      <c r="BQ92" s="23">
        <f>EXP(-LN(2)/25)*BQ91+(1-EXP(-LN(2)/25))/(LN(2)/25)*Calculateur!BL92*Calculateur!BN92*VLOOKUP('Données projet'!$B$11,Paramètres!$A$1:$I$89,3,0)*0.475*44/12</f>
        <v>0</v>
      </c>
      <c r="BR92" s="23">
        <f>EXP(-LN(2)/2)*BR91+(1-EXP(-LN(2)/2))/(LN(2)/2)*BL92*BO92*VLOOKUP('Données projet'!$B$11,Paramètres!$A$1:$I$89,3,0)*0.475*44/12</f>
        <v>0</v>
      </c>
      <c r="BS92" s="24">
        <f t="shared" si="63"/>
        <v>0</v>
      </c>
      <c r="BT92" s="77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6.6</v>
      </c>
      <c r="BY92" s="13">
        <f>IF('Données projet'!$A$114&gt;35,BY91+BX92-CG91,IF(A92&lt;'Données projet'!$A$114,$BV$205^A92,IF(A92='Données projet'!$A$114,'Données projet'!$B$114,BY91+BX92-CG91)))</f>
        <v>379.4000000000002</v>
      </c>
      <c r="BZ92" s="14">
        <f>BY92*VLOOKUP('Données projet'!$B$12,Paramètres!$A$1:$I$89,3,0)*VLOOKUP('Données projet'!$B$12,Paramètres!$A$1:$I$89,5,0)</f>
        <v>384.7116000000002</v>
      </c>
      <c r="CA92" s="14">
        <f t="shared" si="93"/>
        <v>88.670181953085049</v>
      </c>
      <c r="CB92" s="22">
        <f t="shared" si="64"/>
        <v>824.47327023495666</v>
      </c>
      <c r="CC92" s="60">
        <f t="shared" si="65"/>
        <v>1117.80660356829</v>
      </c>
      <c r="CD92" s="60">
        <f ca="1">AVERAGE(OFFSET($CC$3,0,0,'Données projet'!$E$12+1,1))-AVERAGE(OFFSET($H$3,0,0,'Données projet'!$E$12+1,1))</f>
        <v>587.74247372331615</v>
      </c>
      <c r="CE92" s="60">
        <f t="shared" si="94"/>
        <v>306.61893266146666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>
        <f>EXP(-LN(2)/35)*CK91+(1-EXP(-LN(2)/35))/(LN(2)/35)*CG92*CH92*VLOOKUP('Données projet'!$B$12,Paramètres!$A$1:$I$89,3,0)*0.475*44/12</f>
        <v>0</v>
      </c>
      <c r="CL92" s="23">
        <f>EXP(-LN(2)/25)*CL91+(1-EXP(-LN(2)/25))/(LN(2)/25)*Calculateur!CG92*Calculateur!CI92*VLOOKUP('Données projet'!$B$12,Paramètres!$A$1:$I$89,3,0)*0.475*44/12</f>
        <v>0</v>
      </c>
      <c r="CM92" s="23">
        <f>EXP(-LN(2)/2)*CM91+(1-EXP(-LN(2)/2))/(LN(2)/2)*CG92*CJ92*VLOOKUP('Données projet'!$B$12,Paramètres!$A$1:$I$89,3,0)*0.475*44/12</f>
        <v>0</v>
      </c>
      <c r="CN92" s="24">
        <f t="shared" si="66"/>
        <v>0</v>
      </c>
      <c r="CO92" s="77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6.6</v>
      </c>
      <c r="CT92" s="13">
        <f>IF('Données projet'!$A$140&gt;35,CT91+CS92-DB91,IF(A92&lt;'Données projet'!$A$140,$CQ$205^A92,IF(A92='Données projet'!$A$140,'Données projet'!$B$140,CT91+CS92-DB91)))</f>
        <v>379.4000000000002</v>
      </c>
      <c r="CU92" s="18">
        <f>CT92*VLOOKUP('Données projet'!$B$13,Paramètres!$A$1:$I$89,3,0)*VLOOKUP('Données projet'!$B$13,Paramètres!$A$1:$I$89,5,0)</f>
        <v>408.38616000000019</v>
      </c>
      <c r="CV92" s="14">
        <f t="shared" si="95"/>
        <v>93.474771952527362</v>
      </c>
      <c r="CW92" s="22">
        <f t="shared" si="67"/>
        <v>874.0744564839855</v>
      </c>
      <c r="CX92" s="60">
        <f t="shared" si="68"/>
        <v>1167.4077898173189</v>
      </c>
      <c r="CY92" s="60">
        <f ca="1">AVERAGE(OFFSET($CX$3,0,0,'Données projet'!$E$13+1,1))-AVERAGE(OFFSET($H$3,0,0,'Données projet'!$E$13+1,1))</f>
        <v>621.10465023992288</v>
      </c>
      <c r="CZ92" s="60">
        <f t="shared" si="96"/>
        <v>322.81767004794284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>
        <f>EXP(-LN(2)/35)*DF91+(1-EXP(-LN(2)/35))/(LN(2)/35)*DB92*DC92*VLOOKUP('Données projet'!$B$13,Paramètres!$A$1:$I$89,3,0)*0.475*44/12</f>
        <v>0</v>
      </c>
      <c r="DG92" s="23">
        <f>EXP(-LN(2)/25)*DG91+(1-EXP(-LN(2)/25))/(LN(2)/25)*Calculateur!DB92*Calculateur!DD92*VLOOKUP('Données projet'!$B$13,Paramètres!$A$1:$I$89,3,0)*0.475*44/12</f>
        <v>0</v>
      </c>
      <c r="DH92" s="23">
        <f>EXP(-LN(2)/2)*DH91+(1-EXP(-LN(2)/2))/(LN(2)/2)*DB92*DE92*VLOOKUP('Données projet'!$B$13,Paramètres!$A$1:$I$89,3,0)*0.475*44/12</f>
        <v>0</v>
      </c>
      <c r="DI92" s="24">
        <f t="shared" si="69"/>
        <v>0</v>
      </c>
      <c r="DJ92" s="77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6.6</v>
      </c>
      <c r="DO92" s="13">
        <f>IF('Données projet'!$A$166&gt;35,DO91+DN92-DW91,IF(A92&lt;'Données projet'!$A$166,$DL$205^A92,IF(A92='Données projet'!$A$166,'Données projet'!$B$166,DO91+DN92-DW91)))</f>
        <v>379.4000000000002</v>
      </c>
      <c r="DP92" s="18">
        <f>DO92*VLOOKUP('Données projet'!$B$14,Paramètres!$A$1:$I$89,3,0)*VLOOKUP('Données projet'!$B$14,Paramètres!$A$1:$I$89,5,0)</f>
        <v>366.9556800000002</v>
      </c>
      <c r="DQ92" s="14">
        <f t="shared" si="97"/>
        <v>85.044191072402157</v>
      </c>
      <c r="DR92" s="22">
        <f t="shared" si="70"/>
        <v>787.23310878443408</v>
      </c>
      <c r="DS92" s="60">
        <f t="shared" si="71"/>
        <v>1080.5664421177673</v>
      </c>
      <c r="DT92" s="60">
        <f ca="1">AVERAGE(OFFSET($DS$3,0,0,'Données projet'!$E$14+1,1))-AVERAGE(OFFSET($H$3,0,0,'Données projet'!$E$14+1,1))</f>
        <v>562.69380557620775</v>
      </c>
      <c r="DU92" s="60">
        <f t="shared" si="98"/>
        <v>294.45557293177131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>
        <f>EXP(-LN(2)/35)*EA91+(1-EXP(-LN(2)/35))/(LN(2)/35)*DW92*DX92*VLOOKUP('Données projet'!$B$14,Paramètres!$A$1:$I$89,3,0)*0.475*44/12</f>
        <v>0</v>
      </c>
      <c r="EB92" s="23">
        <f>EXP(-LN(2)/25)*EB91+(1-EXP(-LN(2)/25))/(LN(2)/25)*Calculateur!DW92*Calculateur!DY92*VLOOKUP('Données projet'!$B$14,Paramètres!$A$1:$I$89,3,0)*0.475*44/12</f>
        <v>0</v>
      </c>
      <c r="EC92" s="23">
        <f>EXP(-LN(2)/2)*EC91+(1-EXP(-LN(2)/2))/(LN(2)/2)*DW92*DZ92*VLOOKUP('Données projet'!$B$14,Paramètres!$A$1:$I$89,3,0)*0.475*44/12</f>
        <v>0</v>
      </c>
      <c r="ED92" s="24">
        <f t="shared" si="72"/>
        <v>0</v>
      </c>
      <c r="EE92" s="77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1.1368683772161603E-13</v>
      </c>
      <c r="EK92" s="18">
        <f>EJ92*VLOOKUP('Données projet'!$B$15,Paramètres!$A$1:$I$89,3,0)*VLOOKUP('Données projet'!$B$15,Paramètres!$A$1:$I$89,5,0)</f>
        <v>8.8675733422860506E-14</v>
      </c>
      <c r="EL92" s="14">
        <f t="shared" si="99"/>
        <v>1.3509285393066301E-12</v>
      </c>
      <c r="EM92" s="22">
        <f t="shared" si="73"/>
        <v>2.5073107750038623E-12</v>
      </c>
      <c r="EN92" s="60">
        <f t="shared" si="74"/>
        <v>293.33333333333582</v>
      </c>
      <c r="EO92" s="60">
        <f ca="1">AVERAGE(OFFSET($EN$3,0,0,'Données projet'!$E$15+1,1))-AVERAGE(OFFSET($H$3,0,0,'Données projet'!$E$15+1,1))</f>
        <v>292.57482726862594</v>
      </c>
      <c r="EP92" s="60">
        <f t="shared" si="100"/>
        <v>283.48738729114024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>
        <f>EXP(-LN(2)/35)*EV91+(1-EXP(-LN(2)/35))/(LN(2)/35)*ER92*ES92*VLOOKUP('Données projet'!$B$15,Paramètres!$A$1:$I$89,3,0)*0.475*44/12</f>
        <v>0</v>
      </c>
      <c r="EW92" s="23">
        <f>EXP(-LN(2)/25)*EW91+(1-EXP(-LN(2)/25))/(LN(2)/25)*Calculateur!ER92*Calculateur!ET92*VLOOKUP('Données projet'!$B$15,Paramètres!$A$1:$I$89,3,0)*0.475*44/12</f>
        <v>0</v>
      </c>
      <c r="EX92" s="23">
        <f>EXP(-LN(2)/2)*EX91+(1-EXP(-LN(2)/2))/(LN(2)/2)*ER92*EU92*VLOOKUP('Données projet'!$B$15,Paramètres!$A$1:$I$89,3,0)*0.475*44/12</f>
        <v>0</v>
      </c>
      <c r="EY92" s="24">
        <f t="shared" si="75"/>
        <v>0</v>
      </c>
      <c r="EZ92" s="77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0" t="e">
        <f t="shared" si="77"/>
        <v>#N/A</v>
      </c>
      <c r="FJ92" s="60" t="e">
        <f ca="1">AVERAGE(OFFSET($FI$3,0,0,'Données projet'!$E$16+1,1))-AVERAGE(OFFSET($H$3,0,0,'Données projet'!$E$16+1,1))</f>
        <v>#N/A</v>
      </c>
      <c r="FK92" s="60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77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0" t="e">
        <f t="shared" si="80"/>
        <v>#N/A</v>
      </c>
      <c r="GE92" s="60" t="e">
        <f ca="1">AVERAGE(OFFSET($GD$3,0,0,'Données projet'!$E$17+1,1))-AVERAGE(OFFSET($H$3,0,0,'Données projet'!$E$17+1,1))</f>
        <v>#N/A</v>
      </c>
      <c r="GF92" s="60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77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0" t="e">
        <f t="shared" si="83"/>
        <v>#N/A</v>
      </c>
      <c r="GZ92" s="60" t="e">
        <f ca="1">AVERAGE(OFFSET($GY$3,0,0,'Données projet'!$E$18+1,1))-AVERAGE(OFFSET($H$3,0,0,'Données projet'!$E$18+1,1))</f>
        <v>#N/A</v>
      </c>
      <c r="HA92" s="60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25">
      <c r="A93" s="11">
        <f t="shared" si="85"/>
        <v>90</v>
      </c>
      <c r="B93" s="74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2">
        <f t="shared" si="86"/>
        <v>0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0</v>
      </c>
      <c r="H93" s="67">
        <f t="shared" si="56"/>
        <v>256.66666666666669</v>
      </c>
      <c r="I93" s="7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>
        <f>VLOOKUP(A93,'Données projet'!$A$35:$I$55,2,0)</f>
        <v>262.82051282051282</v>
      </c>
      <c r="L93" s="13">
        <f>VLOOKUP(A93,'Données projet'!$A$35:$I$55,9,0)</f>
        <v>3.8461538461538454</v>
      </c>
      <c r="M93" s="13">
        <f t="array" ref="M93">INDEX(L:L,MIN(IF(ISNUMBER(L93:L289),ROW(L93:L289),"")))</f>
        <v>3.8461538461538454</v>
      </c>
      <c r="N93" s="14">
        <f>IF('Données projet'!$A$36&gt;35,N92+M93-V92,IF(A93&lt;'Données projet'!$A$36,$K$205^A93,IF(A93='Données projet'!$A$36,'Données projet'!$B$36,N92+M93-V92)))</f>
        <v>262.82051282051287</v>
      </c>
      <c r="O93" s="14">
        <f>N93*VLOOKUP('Données projet'!$B$9,Paramètres!$A$1:$I$89,3,0)*VLOOKUP('Données projet'!$B$9,Paramètres!$A$1:$I$89,5,0)</f>
        <v>250.10000000000005</v>
      </c>
      <c r="P93" s="14">
        <f t="shared" si="87"/>
        <v>60.60735384884763</v>
      </c>
      <c r="Q93" s="22">
        <f t="shared" si="54"/>
        <v>541.1486412867431</v>
      </c>
      <c r="R93" s="60">
        <f t="shared" si="55"/>
        <v>834.48197462007647</v>
      </c>
      <c r="S93" s="60">
        <f ca="1">AVERAGE(OFFSET($R$3,0,0,'Données projet'!$E$9+1,1))-AVERAGE(OFFSET($H$3,0,0,'Données projet'!$E$9+1,1))</f>
        <v>403.49781966317852</v>
      </c>
      <c r="T93" s="60">
        <f t="shared" si="88"/>
        <v>326.06674572505409</v>
      </c>
      <c r="U93" s="16">
        <f>IF(ISNA(VLOOKUP(A93,'Données projet'!$A$35:$I$55,3,0)),0,VLOOKUP(A93,'Données projet'!$A$35:$I$55,3,0))</f>
        <v>8</v>
      </c>
      <c r="V93" s="16">
        <f>IF(ISNA(VLOOKUP(A93,'Données projet'!$A$35:$I$55,4,0)),0,VLOOKUP(A93,'Données projet'!$A$35:$I$55,4,0))</f>
        <v>28.205128205128204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0</v>
      </c>
      <c r="AA93" s="23">
        <f>EXP(-LN(2)/25)*AA92+(1-EXP(-LN(2)/25))/(LN(2)/25)*Calculateur!V93*Calculateur!X93*VLOOKUP('Données projet'!$B$9,Paramètres!$A$1:$I$89,3,0)*0.475*44/12</f>
        <v>0</v>
      </c>
      <c r="AB93" s="23">
        <f>EXP(-LN(2)/2)*AB92+(1-EXP(-LN(2)/2))/(LN(2)/2)*V93*Y93*VLOOKUP('Données projet'!$B$9,Paramètres!$A$1:$I$89,3,0)*0.475*44/12</f>
        <v>0</v>
      </c>
      <c r="AC93" s="24">
        <f t="shared" si="57"/>
        <v>0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 t="e">
        <f>VLOOKUP(A93,'Données projet'!$A$61:$I$81,2,0)</f>
        <v>#N/A</v>
      </c>
      <c r="AG93" s="13" t="e">
        <f>VLOOKUP(A93,'Données projet'!$A$61:$I$81,9,0)</f>
        <v>#N/A</v>
      </c>
      <c r="AH93" s="13">
        <f t="array" ref="AH93">INDEX(AG:AG,MIN(IF(ISNUMBER(AG93:AG289),ROW(AG93:AG289),"")))</f>
        <v>0</v>
      </c>
      <c r="AI93" s="14">
        <f>IF('Données projet'!$A$62&gt;35,AI92+AH93-AQ92,IF(A93&lt;'Données projet'!$A$62,$AF$205^A93,IF(A93='Données projet'!$A$62,'Données projet'!$B$62,AI92+AH93-AQ92)))</f>
        <v>-1.1368683772161603E-13</v>
      </c>
      <c r="AJ93" s="14">
        <f>AI93*VLOOKUP('Données projet'!$B$10,Paramètres!$A$1:$I$89,3,0)*VLOOKUP('Données projet'!$B$10,Paramètres!$A$1:$I$89,5,0)</f>
        <v>-9.9316821433603781E-14</v>
      </c>
      <c r="AK93" s="14" t="e">
        <f t="shared" si="89"/>
        <v>#NUM!</v>
      </c>
      <c r="AL93" s="22" t="e">
        <f t="shared" si="58"/>
        <v>#NUM!</v>
      </c>
      <c r="AM93" s="60" t="e">
        <f t="shared" si="59"/>
        <v>#NUM!</v>
      </c>
      <c r="AN93" s="60">
        <f ca="1">AVERAGE(OFFSET($AM$3,0,0,'Données projet'!$E$10+1,1))-AVERAGE(OFFSET($H$3,0,0,'Données projet'!$E$10+1,1))</f>
        <v>274.66236526869056</v>
      </c>
      <c r="AO93" s="60">
        <f t="shared" si="90"/>
        <v>256.90876395053073</v>
      </c>
      <c r="AP93" s="16">
        <f>IF(ISNA(VLOOKUP(A93,'Données projet'!$A$61:$I$81,3,0)),0,VLOOKUP(A93,'Données projet'!$A$61:$I$81,3,0))</f>
        <v>0</v>
      </c>
      <c r="AQ93" s="16">
        <f>IF(ISNA(VLOOKUP(A93,'Données projet'!$A$61:$I$81,4,0)),0,VLOOKUP(A93,'Données projet'!$A$61:$I$81,4,0))</f>
        <v>0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>
        <f>EXP(-LN(2)/35)*AU92+(1-EXP(-LN(2)/35))/(LN(2)/35)*AQ93*AR93*VLOOKUP('Données projet'!$B$10,Paramètres!$A$1:$I$89,3,0)*0.475*44/12</f>
        <v>0</v>
      </c>
      <c r="AV93" s="23">
        <f>EXP(-LN(2)/25)*AV92+(1-EXP(-LN(2)/25))/(LN(2)/25)*Calculateur!AQ93*Calculateur!AS93*VLOOKUP('Données projet'!$B$10,Paramètres!$A$1:$I$89,3,0)*0.475*44/12</f>
        <v>0</v>
      </c>
      <c r="AW93" s="23">
        <f>EXP(-LN(2)/2)*AW92+(1-EXP(-LN(2)/2))/(LN(2)/2)*AQ93*AT93*VLOOKUP('Données projet'!$B$10,Paramètres!$A$1:$I$89,3,0)*0.475*44/12</f>
        <v>0</v>
      </c>
      <c r="AX93" s="23">
        <f t="shared" si="60"/>
        <v>0</v>
      </c>
      <c r="AY93" s="76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>
        <f>VLOOKUP(A93,'Données projet'!$A$87:$I$107,2,0)</f>
        <v>386</v>
      </c>
      <c r="BB93" s="13">
        <f>VLOOKUP(A93,'Données projet'!$A$87:$I$107,9,0)</f>
        <v>6.6</v>
      </c>
      <c r="BC93" s="13">
        <f t="array" ref="BC93">INDEX(BB:BB,MIN(IF(ISNUMBER(BB93:BB289),ROW(BB93:BB289),"")))</f>
        <v>6.6</v>
      </c>
      <c r="BD93" s="13">
        <f>IF('Données projet'!$A$88&gt;35,BD92+BC93-BL92,IF(A93&lt;'Données projet'!$A$88,$BA$205^A93,IF(A93='Données projet'!$A$88,'Données projet'!$B$88,BD92+BC93-BL92)))</f>
        <v>386.00000000000023</v>
      </c>
      <c r="BE93" s="14">
        <f>BD93*VLOOKUP('Données projet'!$B$11,Paramètres!$A$1:$I$89,3,0)*VLOOKUP('Données projet'!$B$11,Paramètres!$A$1:$I$89,5,0)</f>
        <v>349.25280000000021</v>
      </c>
      <c r="BF93" s="14">
        <f t="shared" si="91"/>
        <v>81.408635866358992</v>
      </c>
      <c r="BG93" s="22">
        <f t="shared" si="61"/>
        <v>750.06866746724211</v>
      </c>
      <c r="BH93" s="60">
        <f t="shared" si="62"/>
        <v>1043.4020008005755</v>
      </c>
      <c r="BI93" s="60">
        <f ca="1">AVERAGE(OFFSET($BH$3,0,0,'Données projet'!$E$11+1,1))-AVERAGE(OFFSET($H$3,0,0,'Données projet'!$E$11+1,1))</f>
        <v>529.25712986118265</v>
      </c>
      <c r="BJ93" s="60">
        <f t="shared" si="92"/>
        <v>278.21741231699929</v>
      </c>
      <c r="BK93" s="16">
        <f>IF(ISNA(VLOOKUP(A93,'Données projet'!$A$87:$I$107,3,0)),0,VLOOKUP(A93,'Données projet'!$A$87:$I$107,3,0))</f>
        <v>7</v>
      </c>
      <c r="BL93" s="16">
        <f>IF(ISNA(VLOOKUP(A93,'Données projet'!$A$87:$I$107,4,0)),0,VLOOKUP(A93,'Données projet'!$A$87:$I$107,4,0))</f>
        <v>84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>
        <f>EXP(-LN(2)/35)*BP92+(1-EXP(-LN(2)/35))/(LN(2)/35)*BL93*BM93*VLOOKUP('Données projet'!$B$11,Paramètres!$A$1:$I$89,3,0)*0.475*44/12</f>
        <v>0</v>
      </c>
      <c r="BQ93" s="23">
        <f>EXP(-LN(2)/25)*BQ92+(1-EXP(-LN(2)/25))/(LN(2)/25)*Calculateur!BL93*Calculateur!BN93*VLOOKUP('Données projet'!$B$11,Paramètres!$A$1:$I$89,3,0)*0.475*44/12</f>
        <v>0</v>
      </c>
      <c r="BR93" s="23">
        <f>EXP(-LN(2)/2)*BR92+(1-EXP(-LN(2)/2))/(LN(2)/2)*BL93*BO93*VLOOKUP('Données projet'!$B$11,Paramètres!$A$1:$I$89,3,0)*0.475*44/12</f>
        <v>0</v>
      </c>
      <c r="BS93" s="24">
        <f t="shared" si="63"/>
        <v>0</v>
      </c>
      <c r="BT93" s="77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>
        <f>VLOOKUP(A93,'Données projet'!$A$113:$I$133,2,0)</f>
        <v>386</v>
      </c>
      <c r="BW93" s="13">
        <f>VLOOKUP(A93,'Données projet'!$A$113:$I$133,9,0)</f>
        <v>6.6</v>
      </c>
      <c r="BX93" s="13">
        <f t="array" ref="BX93">INDEX(BW:BW,MIN(IF(ISNUMBER(BW93:BW289),ROW(BW93:BW289),"")))</f>
        <v>6.6</v>
      </c>
      <c r="BY93" s="13">
        <f>IF('Données projet'!$A$114&gt;35,BY92+BX93-CG92,IF(A93&lt;'Données projet'!$A$114,$BV$205^A93,IF(A93='Données projet'!$A$114,'Données projet'!$B$114,BY92+BX93-CG92)))</f>
        <v>386.00000000000023</v>
      </c>
      <c r="BZ93" s="14">
        <f>BY93*VLOOKUP('Données projet'!$B$12,Paramètres!$A$1:$I$89,3,0)*VLOOKUP('Données projet'!$B$12,Paramètres!$A$1:$I$89,5,0)</f>
        <v>391.40400000000022</v>
      </c>
      <c r="CA93" s="14">
        <f t="shared" si="93"/>
        <v>90.03176087312184</v>
      </c>
      <c r="CB93" s="22">
        <f t="shared" si="64"/>
        <v>838.50061685402079</v>
      </c>
      <c r="CC93" s="60">
        <f t="shared" si="65"/>
        <v>1131.833950187354</v>
      </c>
      <c r="CD93" s="60">
        <f ca="1">AVERAGE(OFFSET($CC$3,0,0,'Données projet'!$E$12+1,1))-AVERAGE(OFFSET($H$3,0,0,'Données projet'!$E$12+1,1))</f>
        <v>587.74247372331615</v>
      </c>
      <c r="CE93" s="60">
        <f t="shared" si="94"/>
        <v>306.61893266146666</v>
      </c>
      <c r="CF93" s="16">
        <f>IF(ISNA(VLOOKUP(A93,'Données projet'!$A$113:$I$133,3,0)),0,VLOOKUP(A93,'Données projet'!$A$113:$I$133,3,0))</f>
        <v>7</v>
      </c>
      <c r="CG93" s="16">
        <f>IF(ISNA(VLOOKUP(A93,'Données projet'!$A$113:$I$133,4,0)),0,VLOOKUP(A93,'Données projet'!$A$113:$I$133,4,0))</f>
        <v>84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>
        <f>EXP(-LN(2)/35)*CK92+(1-EXP(-LN(2)/35))/(LN(2)/35)*CG93*CH93*VLOOKUP('Données projet'!$B$12,Paramètres!$A$1:$I$89,3,0)*0.475*44/12</f>
        <v>0</v>
      </c>
      <c r="CL93" s="23">
        <f>EXP(-LN(2)/25)*CL92+(1-EXP(-LN(2)/25))/(LN(2)/25)*Calculateur!CG93*Calculateur!CI93*VLOOKUP('Données projet'!$B$12,Paramètres!$A$1:$I$89,3,0)*0.475*44/12</f>
        <v>0</v>
      </c>
      <c r="CM93" s="23">
        <f>EXP(-LN(2)/2)*CM92+(1-EXP(-LN(2)/2))/(LN(2)/2)*CG93*CJ93*VLOOKUP('Données projet'!$B$12,Paramètres!$A$1:$I$89,3,0)*0.475*44/12</f>
        <v>0</v>
      </c>
      <c r="CN93" s="24">
        <f t="shared" si="66"/>
        <v>0</v>
      </c>
      <c r="CO93" s="77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>
        <f>VLOOKUP(A93,'Données projet'!$A$139:$I$159,2,0)</f>
        <v>386</v>
      </c>
      <c r="CR93" s="13">
        <f>VLOOKUP(A93,'Données projet'!$A$139:$I$159,9,0)</f>
        <v>6.6</v>
      </c>
      <c r="CS93" s="13">
        <f t="array" ref="CS93">INDEX(CR:CR,MIN(IF(ISNUMBER(CR93:CR289),ROW(CR93:CR289),"")))</f>
        <v>6.6</v>
      </c>
      <c r="CT93" s="13">
        <f>IF('Données projet'!$A$140&gt;35,CT92+CS93-DB92,IF(A93&lt;'Données projet'!$A$140,$CQ$205^A93,IF(A93='Données projet'!$A$140,'Données projet'!$B$140,CT92+CS93-DB92)))</f>
        <v>386.00000000000023</v>
      </c>
      <c r="CU93" s="18">
        <f>CT93*VLOOKUP('Données projet'!$B$13,Paramètres!$A$1:$I$89,3,0)*VLOOKUP('Données projet'!$B$13,Paramètres!$A$1:$I$89,5,0)</f>
        <v>415.49040000000025</v>
      </c>
      <c r="CV93" s="14">
        <f t="shared" si="95"/>
        <v>94.910127967846563</v>
      </c>
      <c r="CW93" s="22">
        <f t="shared" si="67"/>
        <v>888.94758621066649</v>
      </c>
      <c r="CX93" s="60">
        <f t="shared" si="68"/>
        <v>1182.2809195439997</v>
      </c>
      <c r="CY93" s="60">
        <f ca="1">AVERAGE(OFFSET($CX$3,0,0,'Données projet'!$E$13+1,1))-AVERAGE(OFFSET($H$3,0,0,'Données projet'!$E$13+1,1))</f>
        <v>621.10465023992288</v>
      </c>
      <c r="CZ93" s="60">
        <f t="shared" si="96"/>
        <v>322.81767004794284</v>
      </c>
      <c r="DA93" s="16">
        <f>IF(ISNA(VLOOKUP(A93,'Données projet'!$A$139:$I$159,3,0)),0,VLOOKUP(A93,'Données projet'!$A$139:$I$159,3,0))</f>
        <v>7</v>
      </c>
      <c r="DB93" s="16">
        <f>IF(ISNA(VLOOKUP(A93,'Données projet'!$A$139:$I$159,4,0)),0,VLOOKUP(A93,'Données projet'!$A$139:$I$159,4,0))</f>
        <v>84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>
        <f>EXP(-LN(2)/35)*DF92+(1-EXP(-LN(2)/35))/(LN(2)/35)*DB93*DC93*VLOOKUP('Données projet'!$B$13,Paramètres!$A$1:$I$89,3,0)*0.475*44/12</f>
        <v>0</v>
      </c>
      <c r="DG93" s="23">
        <f>EXP(-LN(2)/25)*DG92+(1-EXP(-LN(2)/25))/(LN(2)/25)*Calculateur!DB93*Calculateur!DD93*VLOOKUP('Données projet'!$B$13,Paramètres!$A$1:$I$89,3,0)*0.475*44/12</f>
        <v>0</v>
      </c>
      <c r="DH93" s="23">
        <f>EXP(-LN(2)/2)*DH92+(1-EXP(-LN(2)/2))/(LN(2)/2)*DB93*DE93*VLOOKUP('Données projet'!$B$13,Paramètres!$A$1:$I$89,3,0)*0.475*44/12</f>
        <v>0</v>
      </c>
      <c r="DI93" s="24">
        <f t="shared" si="69"/>
        <v>0</v>
      </c>
      <c r="DJ93" s="77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>
        <f>VLOOKUP(A93,'Données projet'!$A$165:$I$185,2,0)</f>
        <v>386</v>
      </c>
      <c r="DM93" s="13">
        <f>VLOOKUP(A93,'Données projet'!$A$165:$I$185,9,0)</f>
        <v>6.6</v>
      </c>
      <c r="DN93" s="13">
        <f t="array" ref="DN93">INDEX(DM:DM,MIN(IF(ISNUMBER(DM93:DM289),ROW(DM93:DM289),"")))</f>
        <v>6.6</v>
      </c>
      <c r="DO93" s="13">
        <f>IF('Données projet'!$A$166&gt;35,DO92+DN93-DW92,IF(A93&lt;'Données projet'!$A$166,$DL$205^A93,IF(A93='Données projet'!$A$166,'Données projet'!$B$166,DO92+DN93-DW92)))</f>
        <v>386.00000000000023</v>
      </c>
      <c r="DP93" s="18">
        <f>DO93*VLOOKUP('Données projet'!$B$14,Paramètres!$A$1:$I$89,3,0)*VLOOKUP('Données projet'!$B$14,Paramètres!$A$1:$I$89,5,0)</f>
        <v>373.33920000000023</v>
      </c>
      <c r="DQ93" s="14">
        <f t="shared" si="97"/>
        <v>86.350090928308958</v>
      </c>
      <c r="DR93" s="22">
        <f t="shared" si="70"/>
        <v>800.62551503347186</v>
      </c>
      <c r="DS93" s="60">
        <f t="shared" si="71"/>
        <v>1093.9588483668051</v>
      </c>
      <c r="DT93" s="60">
        <f ca="1">AVERAGE(OFFSET($DS$3,0,0,'Données projet'!$E$14+1,1))-AVERAGE(OFFSET($H$3,0,0,'Données projet'!$E$14+1,1))</f>
        <v>562.69380557620775</v>
      </c>
      <c r="DU93" s="60">
        <f t="shared" si="98"/>
        <v>294.45557293177131</v>
      </c>
      <c r="DV93" s="16">
        <f>IF(ISNA(VLOOKUP(A93,'Données projet'!$A$165:$I$185,3,0)),0,VLOOKUP(A93,'Données projet'!$A$165:$I$185,3,0))</f>
        <v>7</v>
      </c>
      <c r="DW93" s="16">
        <f>IF(ISNA(VLOOKUP(A93,'Données projet'!$A$165:$I$185,4,0)),0,VLOOKUP(A93,'Données projet'!$A$165:$I$185,4,0))</f>
        <v>84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>
        <f>EXP(-LN(2)/35)*EA92+(1-EXP(-LN(2)/35))/(LN(2)/35)*DW93*DX93*VLOOKUP('Données projet'!$B$14,Paramètres!$A$1:$I$89,3,0)*0.475*44/12</f>
        <v>0</v>
      </c>
      <c r="EB93" s="23">
        <f>EXP(-LN(2)/25)*EB92+(1-EXP(-LN(2)/25))/(LN(2)/25)*Calculateur!DW93*Calculateur!DY93*VLOOKUP('Données projet'!$B$14,Paramètres!$A$1:$I$89,3,0)*0.475*44/12</f>
        <v>0</v>
      </c>
      <c r="EC93" s="23">
        <f>EXP(-LN(2)/2)*EC92+(1-EXP(-LN(2)/2))/(LN(2)/2)*DW93*DZ93*VLOOKUP('Données projet'!$B$14,Paramètres!$A$1:$I$89,3,0)*0.475*44/12</f>
        <v>0</v>
      </c>
      <c r="ED93" s="24">
        <f t="shared" si="72"/>
        <v>0</v>
      </c>
      <c r="EE93" s="77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1.1368683772161603E-13</v>
      </c>
      <c r="EK93" s="18">
        <f>EJ93*VLOOKUP('Données projet'!$B$15,Paramètres!$A$1:$I$89,3,0)*VLOOKUP('Données projet'!$B$15,Paramètres!$A$1:$I$89,5,0)</f>
        <v>8.8675733422860506E-14</v>
      </c>
      <c r="EL93" s="14">
        <f t="shared" si="99"/>
        <v>1.3509285393066301E-12</v>
      </c>
      <c r="EM93" s="22">
        <f t="shared" si="73"/>
        <v>2.5073107750038623E-12</v>
      </c>
      <c r="EN93" s="60">
        <f t="shared" si="74"/>
        <v>293.33333333333582</v>
      </c>
      <c r="EO93" s="60">
        <f ca="1">AVERAGE(OFFSET($EN$3,0,0,'Données projet'!$E$15+1,1))-AVERAGE(OFFSET($H$3,0,0,'Données projet'!$E$15+1,1))</f>
        <v>292.57482726862594</v>
      </c>
      <c r="EP93" s="60">
        <f t="shared" si="100"/>
        <v>283.48738729114024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>
        <f>EXP(-LN(2)/35)*EV92+(1-EXP(-LN(2)/35))/(LN(2)/35)*ER93*ES93*VLOOKUP('Données projet'!$B$15,Paramètres!$A$1:$I$89,3,0)*0.475*44/12</f>
        <v>0</v>
      </c>
      <c r="EW93" s="23">
        <f>EXP(-LN(2)/25)*EW92+(1-EXP(-LN(2)/25))/(LN(2)/25)*Calculateur!ER93*Calculateur!ET93*VLOOKUP('Données projet'!$B$15,Paramètres!$A$1:$I$89,3,0)*0.475*44/12</f>
        <v>0</v>
      </c>
      <c r="EX93" s="23">
        <f>EXP(-LN(2)/2)*EX92+(1-EXP(-LN(2)/2))/(LN(2)/2)*ER93*EU93*VLOOKUP('Données projet'!$B$15,Paramètres!$A$1:$I$89,3,0)*0.475*44/12</f>
        <v>0</v>
      </c>
      <c r="EY93" s="24">
        <f t="shared" si="75"/>
        <v>0</v>
      </c>
      <c r="EZ93" s="77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0" t="e">
        <f t="shared" si="77"/>
        <v>#N/A</v>
      </c>
      <c r="FJ93" s="60" t="e">
        <f ca="1">AVERAGE(OFFSET($FI$3,0,0,'Données projet'!$E$16+1,1))-AVERAGE(OFFSET($H$3,0,0,'Données projet'!$E$16+1,1))</f>
        <v>#N/A</v>
      </c>
      <c r="FK93" s="60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77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0" t="e">
        <f t="shared" si="80"/>
        <v>#N/A</v>
      </c>
      <c r="GE93" s="60" t="e">
        <f ca="1">AVERAGE(OFFSET($GD$3,0,0,'Données projet'!$E$17+1,1))-AVERAGE(OFFSET($H$3,0,0,'Données projet'!$E$17+1,1))</f>
        <v>#N/A</v>
      </c>
      <c r="GF93" s="60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77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0" t="e">
        <f t="shared" si="83"/>
        <v>#N/A</v>
      </c>
      <c r="GZ93" s="60" t="e">
        <f ca="1">AVERAGE(OFFSET($GY$3,0,0,'Données projet'!$E$18+1,1))-AVERAGE(OFFSET($H$3,0,0,'Données projet'!$E$18+1,1))</f>
        <v>#N/A</v>
      </c>
      <c r="HA93" s="60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25">
      <c r="A94" s="11">
        <f t="shared" si="85"/>
        <v>91</v>
      </c>
      <c r="B94" s="74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2">
        <f t="shared" si="86"/>
        <v>0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0</v>
      </c>
      <c r="H94" s="67">
        <f t="shared" si="56"/>
        <v>256.66666666666669</v>
      </c>
      <c r="I94" s="7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3.8461538461538454</v>
      </c>
      <c r="N94" s="14">
        <f>IF('Données projet'!$A$36&gt;35,N93+M94-V93,IF(A94&lt;'Données projet'!$A$36,$K$205^A94,IF(A94='Données projet'!$A$36,'Données projet'!$B$36,N93+M94-V93)))</f>
        <v>238.46153846153854</v>
      </c>
      <c r="O94" s="14">
        <f>N94*VLOOKUP('Données projet'!$B$9,Paramètres!$A$1:$I$89,3,0)*VLOOKUP('Données projet'!$B$9,Paramètres!$A$1:$I$89,5,0)</f>
        <v>226.92000000000007</v>
      </c>
      <c r="P94" s="14">
        <f t="shared" si="87"/>
        <v>55.616191877604692</v>
      </c>
      <c r="Q94" s="22">
        <f t="shared" si="54"/>
        <v>492.08386752016168</v>
      </c>
      <c r="R94" s="60">
        <f t="shared" si="55"/>
        <v>785.41720085349493</v>
      </c>
      <c r="S94" s="60">
        <f ca="1">AVERAGE(OFFSET($R$3,0,0,'Données projet'!$E$9+1,1))-AVERAGE(OFFSET($H$3,0,0,'Données projet'!$E$9+1,1))</f>
        <v>403.49781966317852</v>
      </c>
      <c r="T94" s="60">
        <f t="shared" si="88"/>
        <v>326.06674572505409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0</v>
      </c>
      <c r="AA94" s="23">
        <f>EXP(-LN(2)/25)*AA93+(1-EXP(-LN(2)/25))/(LN(2)/25)*Calculateur!V94*Calculateur!X94*VLOOKUP('Données projet'!$B$9,Paramètres!$A$1:$I$89,3,0)*0.475*44/12</f>
        <v>0</v>
      </c>
      <c r="AB94" s="23">
        <f>EXP(-LN(2)/2)*AB93+(1-EXP(-LN(2)/2))/(LN(2)/2)*V94*Y94*VLOOKUP('Données projet'!$B$9,Paramètres!$A$1:$I$89,3,0)*0.475*44/12</f>
        <v>0</v>
      </c>
      <c r="AC94" s="24">
        <f t="shared" si="57"/>
        <v>0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0</v>
      </c>
      <c r="AI94" s="14">
        <f>IF('Données projet'!$A$62&gt;35,AI93+AH94-AQ93,IF(A94&lt;'Données projet'!$A$62,$AF$205^A94,IF(A94='Données projet'!$A$62,'Données projet'!$B$62,AI93+AH94-AQ93)))</f>
        <v>-1.1368683772161603E-13</v>
      </c>
      <c r="AJ94" s="14">
        <f>AI94*VLOOKUP('Données projet'!$B$10,Paramètres!$A$1:$I$89,3,0)*VLOOKUP('Données projet'!$B$10,Paramètres!$A$1:$I$89,5,0)</f>
        <v>-9.9316821433603781E-14</v>
      </c>
      <c r="AK94" s="14" t="e">
        <f t="shared" si="89"/>
        <v>#NUM!</v>
      </c>
      <c r="AL94" s="22" t="e">
        <f t="shared" si="58"/>
        <v>#NUM!</v>
      </c>
      <c r="AM94" s="60" t="e">
        <f t="shared" si="59"/>
        <v>#NUM!</v>
      </c>
      <c r="AN94" s="60">
        <f ca="1">AVERAGE(OFFSET($AM$3,0,0,'Données projet'!$E$10+1,1))-AVERAGE(OFFSET($H$3,0,0,'Données projet'!$E$10+1,1))</f>
        <v>274.66236526869056</v>
      </c>
      <c r="AO94" s="60">
        <f t="shared" si="90"/>
        <v>256.90876395053073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>
        <f>EXP(-LN(2)/35)*AU93+(1-EXP(-LN(2)/35))/(LN(2)/35)*AQ94*AR94*VLOOKUP('Données projet'!$B$10,Paramètres!$A$1:$I$89,3,0)*0.475*44/12</f>
        <v>0</v>
      </c>
      <c r="AV94" s="23">
        <f>EXP(-LN(2)/25)*AV93+(1-EXP(-LN(2)/25))/(LN(2)/25)*Calculateur!AQ94*Calculateur!AS94*VLOOKUP('Données projet'!$B$10,Paramètres!$A$1:$I$89,3,0)*0.475*44/12</f>
        <v>0</v>
      </c>
      <c r="AW94" s="23">
        <f>EXP(-LN(2)/2)*AW93+(1-EXP(-LN(2)/2))/(LN(2)/2)*AQ94*AT94*VLOOKUP('Données projet'!$B$10,Paramètres!$A$1:$I$89,3,0)*0.475*44/12</f>
        <v>0</v>
      </c>
      <c r="AX94" s="23">
        <f t="shared" si="60"/>
        <v>0</v>
      </c>
      <c r="AY94" s="76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5.9</v>
      </c>
      <c r="BD94" s="13">
        <f>IF('Données projet'!$A$88&gt;35,BD93+BC94-BL93,IF(A94&lt;'Données projet'!$A$88,$BA$205^A94,IF(A94='Données projet'!$A$88,'Données projet'!$B$88,BD93+BC94-BL93)))</f>
        <v>307.9000000000002</v>
      </c>
      <c r="BE94" s="14">
        <f>BD94*VLOOKUP('Données projet'!$B$11,Paramètres!$A$1:$I$89,3,0)*VLOOKUP('Données projet'!$B$11,Paramètres!$A$1:$I$89,5,0)</f>
        <v>278.58792000000017</v>
      </c>
      <c r="BF94" s="14">
        <f t="shared" si="91"/>
        <v>66.668508032294284</v>
      </c>
      <c r="BG94" s="22">
        <f t="shared" si="61"/>
        <v>601.32161215624615</v>
      </c>
      <c r="BH94" s="60">
        <f t="shared" si="62"/>
        <v>894.6549454895794</v>
      </c>
      <c r="BI94" s="60">
        <f ca="1">AVERAGE(OFFSET($BH$3,0,0,'Données projet'!$E$11+1,1))-AVERAGE(OFFSET($H$3,0,0,'Données projet'!$E$11+1,1))</f>
        <v>529.25712986118265</v>
      </c>
      <c r="BJ94" s="60">
        <f t="shared" si="92"/>
        <v>278.21741231699929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>
        <f>EXP(-LN(2)/35)*BP93+(1-EXP(-LN(2)/35))/(LN(2)/35)*BL94*BM94*VLOOKUP('Données projet'!$B$11,Paramètres!$A$1:$I$89,3,0)*0.475*44/12</f>
        <v>0</v>
      </c>
      <c r="BQ94" s="23">
        <f>EXP(-LN(2)/25)*BQ93+(1-EXP(-LN(2)/25))/(LN(2)/25)*Calculateur!BL94*Calculateur!BN94*VLOOKUP('Données projet'!$B$11,Paramètres!$A$1:$I$89,3,0)*0.475*44/12</f>
        <v>0</v>
      </c>
      <c r="BR94" s="23">
        <f>EXP(-LN(2)/2)*BR93+(1-EXP(-LN(2)/2))/(LN(2)/2)*BL94*BO94*VLOOKUP('Données projet'!$B$11,Paramètres!$A$1:$I$89,3,0)*0.475*44/12</f>
        <v>0</v>
      </c>
      <c r="BS94" s="24">
        <f t="shared" si="63"/>
        <v>0</v>
      </c>
      <c r="BT94" s="77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5.9</v>
      </c>
      <c r="BY94" s="13">
        <f>IF('Données projet'!$A$114&gt;35,BY93+BX94-CG93,IF(A94&lt;'Données projet'!$A$114,$BV$205^A94,IF(A94='Données projet'!$A$114,'Données projet'!$B$114,BY93+BX94-CG93)))</f>
        <v>307.9000000000002</v>
      </c>
      <c r="BZ94" s="14">
        <f>BY94*VLOOKUP('Données projet'!$B$12,Paramètres!$A$1:$I$89,3,0)*VLOOKUP('Données projet'!$B$12,Paramètres!$A$1:$I$89,5,0)</f>
        <v>312.21060000000023</v>
      </c>
      <c r="CA94" s="14">
        <f t="shared" si="93"/>
        <v>73.730300342886395</v>
      </c>
      <c r="CB94" s="22">
        <f t="shared" si="64"/>
        <v>672.18040143052747</v>
      </c>
      <c r="CC94" s="60">
        <f t="shared" si="65"/>
        <v>965.51373476386084</v>
      </c>
      <c r="CD94" s="60">
        <f ca="1">AVERAGE(OFFSET($CC$3,0,0,'Données projet'!$E$12+1,1))-AVERAGE(OFFSET($H$3,0,0,'Données projet'!$E$12+1,1))</f>
        <v>587.74247372331615</v>
      </c>
      <c r="CE94" s="60">
        <f t="shared" si="94"/>
        <v>306.61893266146666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>
        <f>EXP(-LN(2)/35)*CK93+(1-EXP(-LN(2)/35))/(LN(2)/35)*CG94*CH94*VLOOKUP('Données projet'!$B$12,Paramètres!$A$1:$I$89,3,0)*0.475*44/12</f>
        <v>0</v>
      </c>
      <c r="CL94" s="23">
        <f>EXP(-LN(2)/25)*CL93+(1-EXP(-LN(2)/25))/(LN(2)/25)*Calculateur!CG94*Calculateur!CI94*VLOOKUP('Données projet'!$B$12,Paramètres!$A$1:$I$89,3,0)*0.475*44/12</f>
        <v>0</v>
      </c>
      <c r="CM94" s="23">
        <f>EXP(-LN(2)/2)*CM93+(1-EXP(-LN(2)/2))/(LN(2)/2)*CG94*CJ94*VLOOKUP('Données projet'!$B$12,Paramètres!$A$1:$I$89,3,0)*0.475*44/12</f>
        <v>0</v>
      </c>
      <c r="CN94" s="24">
        <f t="shared" si="66"/>
        <v>0</v>
      </c>
      <c r="CO94" s="77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5.9</v>
      </c>
      <c r="CT94" s="13">
        <f>IF('Données projet'!$A$140&gt;35,CT93+CS94-DB93,IF(A94&lt;'Données projet'!$A$140,$CQ$205^A94,IF(A94='Données projet'!$A$140,'Données projet'!$B$140,CT93+CS94-DB93)))</f>
        <v>307.9000000000002</v>
      </c>
      <c r="CU94" s="18">
        <f>CT94*VLOOKUP('Données projet'!$B$13,Paramètres!$A$1:$I$89,3,0)*VLOOKUP('Données projet'!$B$13,Paramètres!$A$1:$I$89,5,0)</f>
        <v>331.42356000000024</v>
      </c>
      <c r="CV94" s="14">
        <f t="shared" si="95"/>
        <v>77.725373499167262</v>
      </c>
      <c r="CW94" s="22">
        <f t="shared" si="67"/>
        <v>712.60105917771659</v>
      </c>
      <c r="CX94" s="60">
        <f t="shared" si="68"/>
        <v>1005.93439251105</v>
      </c>
      <c r="CY94" s="60">
        <f ca="1">AVERAGE(OFFSET($CX$3,0,0,'Données projet'!$E$13+1,1))-AVERAGE(OFFSET($H$3,0,0,'Données projet'!$E$13+1,1))</f>
        <v>621.10465023992288</v>
      </c>
      <c r="CZ94" s="60">
        <f t="shared" si="96"/>
        <v>322.81767004794284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>
        <f>EXP(-LN(2)/35)*DF93+(1-EXP(-LN(2)/35))/(LN(2)/35)*DB94*DC94*VLOOKUP('Données projet'!$B$13,Paramètres!$A$1:$I$89,3,0)*0.475*44/12</f>
        <v>0</v>
      </c>
      <c r="DG94" s="23">
        <f>EXP(-LN(2)/25)*DG93+(1-EXP(-LN(2)/25))/(LN(2)/25)*Calculateur!DB94*Calculateur!DD94*VLOOKUP('Données projet'!$B$13,Paramètres!$A$1:$I$89,3,0)*0.475*44/12</f>
        <v>0</v>
      </c>
      <c r="DH94" s="23">
        <f>EXP(-LN(2)/2)*DH93+(1-EXP(-LN(2)/2))/(LN(2)/2)*DB94*DE94*VLOOKUP('Données projet'!$B$13,Paramètres!$A$1:$I$89,3,0)*0.475*44/12</f>
        <v>0</v>
      </c>
      <c r="DI94" s="24">
        <f t="shared" si="69"/>
        <v>0</v>
      </c>
      <c r="DJ94" s="77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5.9</v>
      </c>
      <c r="DO94" s="13">
        <f>IF('Données projet'!$A$166&gt;35,DO93+DN94-DW93,IF(A94&lt;'Données projet'!$A$166,$DL$205^A94,IF(A94='Données projet'!$A$166,'Données projet'!$B$166,DO93+DN94-DW93)))</f>
        <v>307.9000000000002</v>
      </c>
      <c r="DP94" s="18">
        <f>DO94*VLOOKUP('Données projet'!$B$14,Paramètres!$A$1:$I$89,3,0)*VLOOKUP('Données projet'!$B$14,Paramètres!$A$1:$I$89,5,0)</f>
        <v>297.80088000000023</v>
      </c>
      <c r="DQ94" s="14">
        <f t="shared" si="97"/>
        <v>70.715246231293804</v>
      </c>
      <c r="DR94" s="22">
        <f t="shared" si="70"/>
        <v>641.83225318617042</v>
      </c>
      <c r="DS94" s="60">
        <f t="shared" si="71"/>
        <v>935.16558651950368</v>
      </c>
      <c r="DT94" s="60">
        <f ca="1">AVERAGE(OFFSET($DS$3,0,0,'Données projet'!$E$14+1,1))-AVERAGE(OFFSET($H$3,0,0,'Données projet'!$E$14+1,1))</f>
        <v>562.69380557620775</v>
      </c>
      <c r="DU94" s="60">
        <f t="shared" si="98"/>
        <v>294.45557293177131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>
        <f>EXP(-LN(2)/35)*EA93+(1-EXP(-LN(2)/35))/(LN(2)/35)*DW94*DX94*VLOOKUP('Données projet'!$B$14,Paramètres!$A$1:$I$89,3,0)*0.475*44/12</f>
        <v>0</v>
      </c>
      <c r="EB94" s="23">
        <f>EXP(-LN(2)/25)*EB93+(1-EXP(-LN(2)/25))/(LN(2)/25)*Calculateur!DW94*Calculateur!DY94*VLOOKUP('Données projet'!$B$14,Paramètres!$A$1:$I$89,3,0)*0.475*44/12</f>
        <v>0</v>
      </c>
      <c r="EC94" s="23">
        <f>EXP(-LN(2)/2)*EC93+(1-EXP(-LN(2)/2))/(LN(2)/2)*DW94*DZ94*VLOOKUP('Données projet'!$B$14,Paramètres!$A$1:$I$89,3,0)*0.475*44/12</f>
        <v>0</v>
      </c>
      <c r="ED94" s="24">
        <f t="shared" si="72"/>
        <v>0</v>
      </c>
      <c r="EE94" s="77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1.1368683772161603E-13</v>
      </c>
      <c r="EK94" s="18">
        <f>EJ94*VLOOKUP('Données projet'!$B$15,Paramètres!$A$1:$I$89,3,0)*VLOOKUP('Données projet'!$B$15,Paramètres!$A$1:$I$89,5,0)</f>
        <v>8.8675733422860506E-14</v>
      </c>
      <c r="EL94" s="14">
        <f t="shared" si="99"/>
        <v>1.3509285393066301E-12</v>
      </c>
      <c r="EM94" s="22">
        <f t="shared" si="73"/>
        <v>2.5073107750038623E-12</v>
      </c>
      <c r="EN94" s="60">
        <f t="shared" si="74"/>
        <v>293.33333333333582</v>
      </c>
      <c r="EO94" s="60">
        <f ca="1">AVERAGE(OFFSET($EN$3,0,0,'Données projet'!$E$15+1,1))-AVERAGE(OFFSET($H$3,0,0,'Données projet'!$E$15+1,1))</f>
        <v>292.57482726862594</v>
      </c>
      <c r="EP94" s="60">
        <f t="shared" si="100"/>
        <v>283.48738729114024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>
        <f>EXP(-LN(2)/35)*EV93+(1-EXP(-LN(2)/35))/(LN(2)/35)*ER94*ES94*VLOOKUP('Données projet'!$B$15,Paramètres!$A$1:$I$89,3,0)*0.475*44/12</f>
        <v>0</v>
      </c>
      <c r="EW94" s="23">
        <f>EXP(-LN(2)/25)*EW93+(1-EXP(-LN(2)/25))/(LN(2)/25)*Calculateur!ER94*Calculateur!ET94*VLOOKUP('Données projet'!$B$15,Paramètres!$A$1:$I$89,3,0)*0.475*44/12</f>
        <v>0</v>
      </c>
      <c r="EX94" s="23">
        <f>EXP(-LN(2)/2)*EX93+(1-EXP(-LN(2)/2))/(LN(2)/2)*ER94*EU94*VLOOKUP('Données projet'!$B$15,Paramètres!$A$1:$I$89,3,0)*0.475*44/12</f>
        <v>0</v>
      </c>
      <c r="EY94" s="24">
        <f t="shared" si="75"/>
        <v>0</v>
      </c>
      <c r="EZ94" s="77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0" t="e">
        <f t="shared" si="77"/>
        <v>#N/A</v>
      </c>
      <c r="FJ94" s="60" t="e">
        <f ca="1">AVERAGE(OFFSET($FI$3,0,0,'Données projet'!$E$16+1,1))-AVERAGE(OFFSET($H$3,0,0,'Données projet'!$E$16+1,1))</f>
        <v>#N/A</v>
      </c>
      <c r="FK94" s="60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77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0" t="e">
        <f t="shared" si="80"/>
        <v>#N/A</v>
      </c>
      <c r="GE94" s="60" t="e">
        <f ca="1">AVERAGE(OFFSET($GD$3,0,0,'Données projet'!$E$17+1,1))-AVERAGE(OFFSET($H$3,0,0,'Données projet'!$E$17+1,1))</f>
        <v>#N/A</v>
      </c>
      <c r="GF94" s="60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77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0" t="e">
        <f t="shared" si="83"/>
        <v>#N/A</v>
      </c>
      <c r="GZ94" s="60" t="e">
        <f ca="1">AVERAGE(OFFSET($GY$3,0,0,'Données projet'!$E$18+1,1))-AVERAGE(OFFSET($H$3,0,0,'Données projet'!$E$18+1,1))</f>
        <v>#N/A</v>
      </c>
      <c r="HA94" s="60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25">
      <c r="A95" s="11">
        <f t="shared" si="85"/>
        <v>92</v>
      </c>
      <c r="B95" s="74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2">
        <f t="shared" si="86"/>
        <v>0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0</v>
      </c>
      <c r="H95" s="67">
        <f t="shared" si="56"/>
        <v>256.66666666666669</v>
      </c>
      <c r="I95" s="7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3.8461538461538454</v>
      </c>
      <c r="N95" s="14">
        <f>IF('Données projet'!$A$36&gt;35,N94+M95-V94,IF(A95&lt;'Données projet'!$A$36,$K$205^A95,IF(A95='Données projet'!$A$36,'Données projet'!$B$36,N94+M95-V94)))</f>
        <v>242.30769230769238</v>
      </c>
      <c r="O95" s="14">
        <f>N95*VLOOKUP('Données projet'!$B$9,Paramètres!$A$1:$I$89,3,0)*VLOOKUP('Données projet'!$B$9,Paramètres!$A$1:$I$89,5,0)</f>
        <v>230.58000000000007</v>
      </c>
      <c r="P95" s="14">
        <f t="shared" si="87"/>
        <v>56.408072703031301</v>
      </c>
      <c r="Q95" s="22">
        <f t="shared" si="54"/>
        <v>499.8375599577796</v>
      </c>
      <c r="R95" s="60">
        <f t="shared" si="55"/>
        <v>793.17089329111286</v>
      </c>
      <c r="S95" s="60">
        <f ca="1">AVERAGE(OFFSET($R$3,0,0,'Données projet'!$E$9+1,1))-AVERAGE(OFFSET($H$3,0,0,'Données projet'!$E$9+1,1))</f>
        <v>403.49781966317852</v>
      </c>
      <c r="T95" s="60">
        <f t="shared" si="88"/>
        <v>326.06674572505409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0</v>
      </c>
      <c r="AA95" s="23">
        <f>EXP(-LN(2)/25)*AA94+(1-EXP(-LN(2)/25))/(LN(2)/25)*Calculateur!V95*Calculateur!X95*VLOOKUP('Données projet'!$B$9,Paramètres!$A$1:$I$89,3,0)*0.475*44/12</f>
        <v>0</v>
      </c>
      <c r="AB95" s="23">
        <f>EXP(-LN(2)/2)*AB94+(1-EXP(-LN(2)/2))/(LN(2)/2)*V95*Y95*VLOOKUP('Données projet'!$B$9,Paramètres!$A$1:$I$89,3,0)*0.475*44/12</f>
        <v>0</v>
      </c>
      <c r="AC95" s="24">
        <f t="shared" si="57"/>
        <v>0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0</v>
      </c>
      <c r="AI95" s="14">
        <f>IF('Données projet'!$A$62&gt;35,AI94+AH95-AQ94,IF(A95&lt;'Données projet'!$A$62,$AF$205^A95,IF(A95='Données projet'!$A$62,'Données projet'!$B$62,AI94+AH95-AQ94)))</f>
        <v>-1.1368683772161603E-13</v>
      </c>
      <c r="AJ95" s="14">
        <f>AI95*VLOOKUP('Données projet'!$B$10,Paramètres!$A$1:$I$89,3,0)*VLOOKUP('Données projet'!$B$10,Paramètres!$A$1:$I$89,5,0)</f>
        <v>-9.9316821433603781E-14</v>
      </c>
      <c r="AK95" s="14" t="e">
        <f t="shared" si="89"/>
        <v>#NUM!</v>
      </c>
      <c r="AL95" s="22" t="e">
        <f t="shared" si="58"/>
        <v>#NUM!</v>
      </c>
      <c r="AM95" s="60" t="e">
        <f t="shared" si="59"/>
        <v>#NUM!</v>
      </c>
      <c r="AN95" s="60">
        <f ca="1">AVERAGE(OFFSET($AM$3,0,0,'Données projet'!$E$10+1,1))-AVERAGE(OFFSET($H$3,0,0,'Données projet'!$E$10+1,1))</f>
        <v>274.66236526869056</v>
      </c>
      <c r="AO95" s="60">
        <f t="shared" si="90"/>
        <v>256.90876395053073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>
        <f>EXP(-LN(2)/35)*AU94+(1-EXP(-LN(2)/35))/(LN(2)/35)*AQ95*AR95*VLOOKUP('Données projet'!$B$10,Paramètres!$A$1:$I$89,3,0)*0.475*44/12</f>
        <v>0</v>
      </c>
      <c r="AV95" s="23">
        <f>EXP(-LN(2)/25)*AV94+(1-EXP(-LN(2)/25))/(LN(2)/25)*Calculateur!AQ95*Calculateur!AS95*VLOOKUP('Données projet'!$B$10,Paramètres!$A$1:$I$89,3,0)*0.475*44/12</f>
        <v>0</v>
      </c>
      <c r="AW95" s="23">
        <f>EXP(-LN(2)/2)*AW94+(1-EXP(-LN(2)/2))/(LN(2)/2)*AQ95*AT95*VLOOKUP('Données projet'!$B$10,Paramètres!$A$1:$I$89,3,0)*0.475*44/12</f>
        <v>0</v>
      </c>
      <c r="AX95" s="23">
        <f t="shared" si="60"/>
        <v>0</v>
      </c>
      <c r="AY95" s="76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5.9</v>
      </c>
      <c r="BD95" s="13">
        <f>IF('Données projet'!$A$88&gt;35,BD94+BC95-BL94,IF(A95&lt;'Données projet'!$A$88,$BA$205^A95,IF(A95='Données projet'!$A$88,'Données projet'!$B$88,BD94+BC95-BL94)))</f>
        <v>313.80000000000018</v>
      </c>
      <c r="BE95" s="14">
        <f>BD95*VLOOKUP('Données projet'!$B$11,Paramètres!$A$1:$I$89,3,0)*VLOOKUP('Données projet'!$B$11,Paramètres!$A$1:$I$89,5,0)</f>
        <v>283.92624000000018</v>
      </c>
      <c r="BF95" s="14">
        <f t="shared" si="91"/>
        <v>67.796062628528361</v>
      </c>
      <c r="BG95" s="22">
        <f t="shared" si="61"/>
        <v>612.58301041135394</v>
      </c>
      <c r="BH95" s="60">
        <f t="shared" si="62"/>
        <v>905.91634374468731</v>
      </c>
      <c r="BI95" s="60">
        <f ca="1">AVERAGE(OFFSET($BH$3,0,0,'Données projet'!$E$11+1,1))-AVERAGE(OFFSET($H$3,0,0,'Données projet'!$E$11+1,1))</f>
        <v>529.25712986118265</v>
      </c>
      <c r="BJ95" s="60">
        <f t="shared" si="92"/>
        <v>278.21741231699929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>
        <f>EXP(-LN(2)/35)*BP94+(1-EXP(-LN(2)/35))/(LN(2)/35)*BL95*BM95*VLOOKUP('Données projet'!$B$11,Paramètres!$A$1:$I$89,3,0)*0.475*44/12</f>
        <v>0</v>
      </c>
      <c r="BQ95" s="23">
        <f>EXP(-LN(2)/25)*BQ94+(1-EXP(-LN(2)/25))/(LN(2)/25)*Calculateur!BL95*Calculateur!BN95*VLOOKUP('Données projet'!$B$11,Paramètres!$A$1:$I$89,3,0)*0.475*44/12</f>
        <v>0</v>
      </c>
      <c r="BR95" s="23">
        <f>EXP(-LN(2)/2)*BR94+(1-EXP(-LN(2)/2))/(LN(2)/2)*BL95*BO95*VLOOKUP('Données projet'!$B$11,Paramètres!$A$1:$I$89,3,0)*0.475*44/12</f>
        <v>0</v>
      </c>
      <c r="BS95" s="24">
        <f t="shared" si="63"/>
        <v>0</v>
      </c>
      <c r="BT95" s="77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5.9</v>
      </c>
      <c r="BY95" s="13">
        <f>IF('Données projet'!$A$114&gt;35,BY94+BX95-CG94,IF(A95&lt;'Données projet'!$A$114,$BV$205^A95,IF(A95='Données projet'!$A$114,'Données projet'!$B$114,BY94+BX95-CG94)))</f>
        <v>313.80000000000018</v>
      </c>
      <c r="BZ95" s="14">
        <f>BY95*VLOOKUP('Données projet'!$B$12,Paramètres!$A$1:$I$89,3,0)*VLOOKUP('Données projet'!$B$12,Paramètres!$A$1:$I$89,5,0)</f>
        <v>318.19320000000016</v>
      </c>
      <c r="CA95" s="14">
        <f t="shared" si="93"/>
        <v>74.977289985928564</v>
      </c>
      <c r="CB95" s="22">
        <f t="shared" si="64"/>
        <v>684.77193672549254</v>
      </c>
      <c r="CC95" s="60">
        <f t="shared" si="65"/>
        <v>978.10527005882591</v>
      </c>
      <c r="CD95" s="60">
        <f ca="1">AVERAGE(OFFSET($CC$3,0,0,'Données projet'!$E$12+1,1))-AVERAGE(OFFSET($H$3,0,0,'Données projet'!$E$12+1,1))</f>
        <v>587.74247372331615</v>
      </c>
      <c r="CE95" s="60">
        <f t="shared" si="94"/>
        <v>306.61893266146666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>
        <f>EXP(-LN(2)/35)*CK94+(1-EXP(-LN(2)/35))/(LN(2)/35)*CG95*CH95*VLOOKUP('Données projet'!$B$12,Paramètres!$A$1:$I$89,3,0)*0.475*44/12</f>
        <v>0</v>
      </c>
      <c r="CL95" s="23">
        <f>EXP(-LN(2)/25)*CL94+(1-EXP(-LN(2)/25))/(LN(2)/25)*Calculateur!CG95*Calculateur!CI95*VLOOKUP('Données projet'!$B$12,Paramètres!$A$1:$I$89,3,0)*0.475*44/12</f>
        <v>0</v>
      </c>
      <c r="CM95" s="23">
        <f>EXP(-LN(2)/2)*CM94+(1-EXP(-LN(2)/2))/(LN(2)/2)*CG95*CJ95*VLOOKUP('Données projet'!$B$12,Paramètres!$A$1:$I$89,3,0)*0.475*44/12</f>
        <v>0</v>
      </c>
      <c r="CN95" s="24">
        <f t="shared" si="66"/>
        <v>0</v>
      </c>
      <c r="CO95" s="77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5.9</v>
      </c>
      <c r="CT95" s="13">
        <f>IF('Données projet'!$A$140&gt;35,CT94+CS95-DB94,IF(A95&lt;'Données projet'!$A$140,$CQ$205^A95,IF(A95='Données projet'!$A$140,'Données projet'!$B$140,CT94+CS95-DB94)))</f>
        <v>313.80000000000018</v>
      </c>
      <c r="CU95" s="18">
        <f>CT95*VLOOKUP('Données projet'!$B$13,Paramètres!$A$1:$I$89,3,0)*VLOOKUP('Données projet'!$B$13,Paramètres!$A$1:$I$89,5,0)</f>
        <v>337.77432000000016</v>
      </c>
      <c r="CV95" s="14">
        <f t="shared" si="95"/>
        <v>79.039931222441169</v>
      </c>
      <c r="CW95" s="22">
        <f t="shared" si="67"/>
        <v>725.951487545752</v>
      </c>
      <c r="CX95" s="60">
        <f t="shared" si="68"/>
        <v>1019.2848208790854</v>
      </c>
      <c r="CY95" s="60">
        <f ca="1">AVERAGE(OFFSET($CX$3,0,0,'Données projet'!$E$13+1,1))-AVERAGE(OFFSET($H$3,0,0,'Données projet'!$E$13+1,1))</f>
        <v>621.10465023992288</v>
      </c>
      <c r="CZ95" s="60">
        <f t="shared" si="96"/>
        <v>322.81767004794284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>
        <f>EXP(-LN(2)/35)*DF94+(1-EXP(-LN(2)/35))/(LN(2)/35)*DB95*DC95*VLOOKUP('Données projet'!$B$13,Paramètres!$A$1:$I$89,3,0)*0.475*44/12</f>
        <v>0</v>
      </c>
      <c r="DG95" s="23">
        <f>EXP(-LN(2)/25)*DG94+(1-EXP(-LN(2)/25))/(LN(2)/25)*Calculateur!DB95*Calculateur!DD95*VLOOKUP('Données projet'!$B$13,Paramètres!$A$1:$I$89,3,0)*0.475*44/12</f>
        <v>0</v>
      </c>
      <c r="DH95" s="23">
        <f>EXP(-LN(2)/2)*DH94+(1-EXP(-LN(2)/2))/(LN(2)/2)*DB95*DE95*VLOOKUP('Données projet'!$B$13,Paramètres!$A$1:$I$89,3,0)*0.475*44/12</f>
        <v>0</v>
      </c>
      <c r="DI95" s="24">
        <f t="shared" si="69"/>
        <v>0</v>
      </c>
      <c r="DJ95" s="77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5.9</v>
      </c>
      <c r="DO95" s="13">
        <f>IF('Données projet'!$A$166&gt;35,DO94+DN95-DW94,IF(A95&lt;'Données projet'!$A$166,$DL$205^A95,IF(A95='Données projet'!$A$166,'Données projet'!$B$166,DO94+DN95-DW94)))</f>
        <v>313.80000000000018</v>
      </c>
      <c r="DP95" s="18">
        <f>DO95*VLOOKUP('Données projet'!$B$14,Paramètres!$A$1:$I$89,3,0)*VLOOKUP('Données projet'!$B$14,Paramètres!$A$1:$I$89,5,0)</f>
        <v>303.50736000000023</v>
      </c>
      <c r="DQ95" s="14">
        <f t="shared" si="97"/>
        <v>71.911242710970541</v>
      </c>
      <c r="DR95" s="22">
        <f t="shared" si="70"/>
        <v>653.85406638827408</v>
      </c>
      <c r="DS95" s="60">
        <f t="shared" si="71"/>
        <v>947.18739972160733</v>
      </c>
      <c r="DT95" s="60">
        <f ca="1">AVERAGE(OFFSET($DS$3,0,0,'Données projet'!$E$14+1,1))-AVERAGE(OFFSET($H$3,0,0,'Données projet'!$E$14+1,1))</f>
        <v>562.69380557620775</v>
      </c>
      <c r="DU95" s="60">
        <f t="shared" si="98"/>
        <v>294.45557293177131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>
        <f>EXP(-LN(2)/35)*EA94+(1-EXP(-LN(2)/35))/(LN(2)/35)*DW95*DX95*VLOOKUP('Données projet'!$B$14,Paramètres!$A$1:$I$89,3,0)*0.475*44/12</f>
        <v>0</v>
      </c>
      <c r="EB95" s="23">
        <f>EXP(-LN(2)/25)*EB94+(1-EXP(-LN(2)/25))/(LN(2)/25)*Calculateur!DW95*Calculateur!DY95*VLOOKUP('Données projet'!$B$14,Paramètres!$A$1:$I$89,3,0)*0.475*44/12</f>
        <v>0</v>
      </c>
      <c r="EC95" s="23">
        <f>EXP(-LN(2)/2)*EC94+(1-EXP(-LN(2)/2))/(LN(2)/2)*DW95*DZ95*VLOOKUP('Données projet'!$B$14,Paramètres!$A$1:$I$89,3,0)*0.475*44/12</f>
        <v>0</v>
      </c>
      <c r="ED95" s="24">
        <f t="shared" si="72"/>
        <v>0</v>
      </c>
      <c r="EE95" s="77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1.1368683772161603E-13</v>
      </c>
      <c r="EK95" s="18">
        <f>EJ95*VLOOKUP('Données projet'!$B$15,Paramètres!$A$1:$I$89,3,0)*VLOOKUP('Données projet'!$B$15,Paramètres!$A$1:$I$89,5,0)</f>
        <v>8.8675733422860506E-14</v>
      </c>
      <c r="EL95" s="14">
        <f t="shared" si="99"/>
        <v>1.3509285393066301E-12</v>
      </c>
      <c r="EM95" s="22">
        <f t="shared" si="73"/>
        <v>2.5073107750038623E-12</v>
      </c>
      <c r="EN95" s="60">
        <f t="shared" si="74"/>
        <v>293.33333333333582</v>
      </c>
      <c r="EO95" s="60">
        <f ca="1">AVERAGE(OFFSET($EN$3,0,0,'Données projet'!$E$15+1,1))-AVERAGE(OFFSET($H$3,0,0,'Données projet'!$E$15+1,1))</f>
        <v>292.57482726862594</v>
      </c>
      <c r="EP95" s="60">
        <f t="shared" si="100"/>
        <v>283.48738729114024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>
        <f>EXP(-LN(2)/35)*EV94+(1-EXP(-LN(2)/35))/(LN(2)/35)*ER95*ES95*VLOOKUP('Données projet'!$B$15,Paramètres!$A$1:$I$89,3,0)*0.475*44/12</f>
        <v>0</v>
      </c>
      <c r="EW95" s="23">
        <f>EXP(-LN(2)/25)*EW94+(1-EXP(-LN(2)/25))/(LN(2)/25)*Calculateur!ER95*Calculateur!ET95*VLOOKUP('Données projet'!$B$15,Paramètres!$A$1:$I$89,3,0)*0.475*44/12</f>
        <v>0</v>
      </c>
      <c r="EX95" s="23">
        <f>EXP(-LN(2)/2)*EX94+(1-EXP(-LN(2)/2))/(LN(2)/2)*ER95*EU95*VLOOKUP('Données projet'!$B$15,Paramètres!$A$1:$I$89,3,0)*0.475*44/12</f>
        <v>0</v>
      </c>
      <c r="EY95" s="24">
        <f t="shared" si="75"/>
        <v>0</v>
      </c>
      <c r="EZ95" s="77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0" t="e">
        <f t="shared" si="77"/>
        <v>#N/A</v>
      </c>
      <c r="FJ95" s="60" t="e">
        <f ca="1">AVERAGE(OFFSET($FI$3,0,0,'Données projet'!$E$16+1,1))-AVERAGE(OFFSET($H$3,0,0,'Données projet'!$E$16+1,1))</f>
        <v>#N/A</v>
      </c>
      <c r="FK95" s="60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77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0" t="e">
        <f t="shared" si="80"/>
        <v>#N/A</v>
      </c>
      <c r="GE95" s="60" t="e">
        <f ca="1">AVERAGE(OFFSET($GD$3,0,0,'Données projet'!$E$17+1,1))-AVERAGE(OFFSET($H$3,0,0,'Données projet'!$E$17+1,1))</f>
        <v>#N/A</v>
      </c>
      <c r="GF95" s="60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77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0" t="e">
        <f t="shared" si="83"/>
        <v>#N/A</v>
      </c>
      <c r="GZ95" s="60" t="e">
        <f ca="1">AVERAGE(OFFSET($GY$3,0,0,'Données projet'!$E$18+1,1))-AVERAGE(OFFSET($H$3,0,0,'Données projet'!$E$18+1,1))</f>
        <v>#N/A</v>
      </c>
      <c r="HA95" s="60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25">
      <c r="A96" s="11">
        <f t="shared" si="85"/>
        <v>93</v>
      </c>
      <c r="B96" s="74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2">
        <f t="shared" si="86"/>
        <v>0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0</v>
      </c>
      <c r="H96" s="67">
        <f t="shared" si="56"/>
        <v>256.66666666666669</v>
      </c>
      <c r="I96" s="7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3.8461538461538454</v>
      </c>
      <c r="N96" s="14">
        <f>IF('Données projet'!$A$36&gt;35,N95+M96-V95,IF(A96&lt;'Données projet'!$A$36,$K$205^A96,IF(A96='Données projet'!$A$36,'Données projet'!$B$36,N95+M96-V95)))</f>
        <v>246.15384615384622</v>
      </c>
      <c r="O96" s="14">
        <f>N96*VLOOKUP('Données projet'!$B$9,Paramètres!$A$1:$I$89,3,0)*VLOOKUP('Données projet'!$B$9,Paramètres!$A$1:$I$89,5,0)</f>
        <v>234.24000000000007</v>
      </c>
      <c r="P96" s="14">
        <f t="shared" si="87"/>
        <v>57.19849172024874</v>
      </c>
      <c r="Q96" s="22">
        <f t="shared" si="54"/>
        <v>507.58870641276661</v>
      </c>
      <c r="R96" s="60">
        <f t="shared" si="55"/>
        <v>800.92203974609993</v>
      </c>
      <c r="S96" s="60">
        <f ca="1">AVERAGE(OFFSET($R$3,0,0,'Données projet'!$E$9+1,1))-AVERAGE(OFFSET($H$3,0,0,'Données projet'!$E$9+1,1))</f>
        <v>403.49781966317852</v>
      </c>
      <c r="T96" s="60">
        <f t="shared" si="88"/>
        <v>326.06674572505409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0</v>
      </c>
      <c r="AA96" s="23">
        <f>EXP(-LN(2)/25)*AA95+(1-EXP(-LN(2)/25))/(LN(2)/25)*Calculateur!V96*Calculateur!X96*VLOOKUP('Données projet'!$B$9,Paramètres!$A$1:$I$89,3,0)*0.475*44/12</f>
        <v>0</v>
      </c>
      <c r="AB96" s="23">
        <f>EXP(-LN(2)/2)*AB95+(1-EXP(-LN(2)/2))/(LN(2)/2)*V96*Y96*VLOOKUP('Données projet'!$B$9,Paramètres!$A$1:$I$89,3,0)*0.475*44/12</f>
        <v>0</v>
      </c>
      <c r="AC96" s="24">
        <f t="shared" si="57"/>
        <v>0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0</v>
      </c>
      <c r="AI96" s="14">
        <f>IF('Données projet'!$A$62&gt;35,AI95+AH96-AQ95,IF(A96&lt;'Données projet'!$A$62,$AF$205^A96,IF(A96='Données projet'!$A$62,'Données projet'!$B$62,AI95+AH96-AQ95)))</f>
        <v>-1.1368683772161603E-13</v>
      </c>
      <c r="AJ96" s="14">
        <f>AI96*VLOOKUP('Données projet'!$B$10,Paramètres!$A$1:$I$89,3,0)*VLOOKUP('Données projet'!$B$10,Paramètres!$A$1:$I$89,5,0)</f>
        <v>-9.9316821433603781E-14</v>
      </c>
      <c r="AK96" s="14" t="e">
        <f t="shared" si="89"/>
        <v>#NUM!</v>
      </c>
      <c r="AL96" s="22" t="e">
        <f t="shared" si="58"/>
        <v>#NUM!</v>
      </c>
      <c r="AM96" s="60" t="e">
        <f t="shared" si="59"/>
        <v>#NUM!</v>
      </c>
      <c r="AN96" s="60">
        <f ca="1">AVERAGE(OFFSET($AM$3,0,0,'Données projet'!$E$10+1,1))-AVERAGE(OFFSET($H$3,0,0,'Données projet'!$E$10+1,1))</f>
        <v>274.66236526869056</v>
      </c>
      <c r="AO96" s="60">
        <f t="shared" si="90"/>
        <v>256.90876395053073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>
        <f>EXP(-LN(2)/35)*AU95+(1-EXP(-LN(2)/35))/(LN(2)/35)*AQ96*AR96*VLOOKUP('Données projet'!$B$10,Paramètres!$A$1:$I$89,3,0)*0.475*44/12</f>
        <v>0</v>
      </c>
      <c r="AV96" s="23">
        <f>EXP(-LN(2)/25)*AV95+(1-EXP(-LN(2)/25))/(LN(2)/25)*Calculateur!AQ96*Calculateur!AS96*VLOOKUP('Données projet'!$B$10,Paramètres!$A$1:$I$89,3,0)*0.475*44/12</f>
        <v>0</v>
      </c>
      <c r="AW96" s="23">
        <f>EXP(-LN(2)/2)*AW95+(1-EXP(-LN(2)/2))/(LN(2)/2)*AQ96*AT96*VLOOKUP('Données projet'!$B$10,Paramètres!$A$1:$I$89,3,0)*0.475*44/12</f>
        <v>0</v>
      </c>
      <c r="AX96" s="23">
        <f t="shared" si="60"/>
        <v>0</v>
      </c>
      <c r="AY96" s="76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5.9</v>
      </c>
      <c r="BD96" s="13">
        <f>IF('Données projet'!$A$88&gt;35,BD95+BC96-BL95,IF(A96&lt;'Données projet'!$A$88,$BA$205^A96,IF(A96='Données projet'!$A$88,'Données projet'!$B$88,BD95+BC96-BL95)))</f>
        <v>319.70000000000016</v>
      </c>
      <c r="BE96" s="14">
        <f>BD96*VLOOKUP('Données projet'!$B$11,Paramètres!$A$1:$I$89,3,0)*VLOOKUP('Données projet'!$B$11,Paramètres!$A$1:$I$89,5,0)</f>
        <v>289.26456000000013</v>
      </c>
      <c r="BF96" s="14">
        <f t="shared" si="91"/>
        <v>68.921152085057912</v>
      </c>
      <c r="BG96" s="22">
        <f t="shared" si="61"/>
        <v>623.84011521480943</v>
      </c>
      <c r="BH96" s="60">
        <f t="shared" si="62"/>
        <v>917.17344854814269</v>
      </c>
      <c r="BI96" s="60">
        <f ca="1">AVERAGE(OFFSET($BH$3,0,0,'Données projet'!$E$11+1,1))-AVERAGE(OFFSET($H$3,0,0,'Données projet'!$E$11+1,1))</f>
        <v>529.25712986118265</v>
      </c>
      <c r="BJ96" s="60">
        <f t="shared" si="92"/>
        <v>278.21741231699929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>
        <f>EXP(-LN(2)/35)*BP95+(1-EXP(-LN(2)/35))/(LN(2)/35)*BL96*BM96*VLOOKUP('Données projet'!$B$11,Paramètres!$A$1:$I$89,3,0)*0.475*44/12</f>
        <v>0</v>
      </c>
      <c r="BQ96" s="23">
        <f>EXP(-LN(2)/25)*BQ95+(1-EXP(-LN(2)/25))/(LN(2)/25)*Calculateur!BL96*Calculateur!BN96*VLOOKUP('Données projet'!$B$11,Paramètres!$A$1:$I$89,3,0)*0.475*44/12</f>
        <v>0</v>
      </c>
      <c r="BR96" s="23">
        <f>EXP(-LN(2)/2)*BR95+(1-EXP(-LN(2)/2))/(LN(2)/2)*BL96*BO96*VLOOKUP('Données projet'!$B$11,Paramètres!$A$1:$I$89,3,0)*0.475*44/12</f>
        <v>0</v>
      </c>
      <c r="BS96" s="24">
        <f t="shared" si="63"/>
        <v>0</v>
      </c>
      <c r="BT96" s="77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5.9</v>
      </c>
      <c r="BY96" s="13">
        <f>IF('Données projet'!$A$114&gt;35,BY95+BX96-CG95,IF(A96&lt;'Données projet'!$A$114,$BV$205^A96,IF(A96='Données projet'!$A$114,'Données projet'!$B$114,BY95+BX96-CG95)))</f>
        <v>319.70000000000016</v>
      </c>
      <c r="BZ96" s="14">
        <f>BY96*VLOOKUP('Données projet'!$B$12,Paramètres!$A$1:$I$89,3,0)*VLOOKUP('Données projet'!$B$12,Paramètres!$A$1:$I$89,5,0)</f>
        <v>324.17580000000021</v>
      </c>
      <c r="CA96" s="14">
        <f t="shared" si="93"/>
        <v>76.221553371909266</v>
      </c>
      <c r="CB96" s="22">
        <f t="shared" si="64"/>
        <v>697.35872378940894</v>
      </c>
      <c r="CC96" s="60">
        <f t="shared" si="65"/>
        <v>990.6920571227422</v>
      </c>
      <c r="CD96" s="60">
        <f ca="1">AVERAGE(OFFSET($CC$3,0,0,'Données projet'!$E$12+1,1))-AVERAGE(OFFSET($H$3,0,0,'Données projet'!$E$12+1,1))</f>
        <v>587.74247372331615</v>
      </c>
      <c r="CE96" s="60">
        <f t="shared" si="94"/>
        <v>306.61893266146666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>
        <f>EXP(-LN(2)/35)*CK95+(1-EXP(-LN(2)/35))/(LN(2)/35)*CG96*CH96*VLOOKUP('Données projet'!$B$12,Paramètres!$A$1:$I$89,3,0)*0.475*44/12</f>
        <v>0</v>
      </c>
      <c r="CL96" s="23">
        <f>EXP(-LN(2)/25)*CL95+(1-EXP(-LN(2)/25))/(LN(2)/25)*Calculateur!CG96*Calculateur!CI96*VLOOKUP('Données projet'!$B$12,Paramètres!$A$1:$I$89,3,0)*0.475*44/12</f>
        <v>0</v>
      </c>
      <c r="CM96" s="23">
        <f>EXP(-LN(2)/2)*CM95+(1-EXP(-LN(2)/2))/(LN(2)/2)*CG96*CJ96*VLOOKUP('Données projet'!$B$12,Paramètres!$A$1:$I$89,3,0)*0.475*44/12</f>
        <v>0</v>
      </c>
      <c r="CN96" s="24">
        <f t="shared" si="66"/>
        <v>0</v>
      </c>
      <c r="CO96" s="77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5.9</v>
      </c>
      <c r="CT96" s="13">
        <f>IF('Données projet'!$A$140&gt;35,CT95+CS96-DB95,IF(A96&lt;'Données projet'!$A$140,$CQ$205^A96,IF(A96='Données projet'!$A$140,'Données projet'!$B$140,CT95+CS96-DB95)))</f>
        <v>319.70000000000016</v>
      </c>
      <c r="CU96" s="18">
        <f>CT96*VLOOKUP('Données projet'!$B$13,Paramètres!$A$1:$I$89,3,0)*VLOOKUP('Données projet'!$B$13,Paramètres!$A$1:$I$89,5,0)</f>
        <v>344.1250800000002</v>
      </c>
      <c r="CV96" s="14">
        <f t="shared" si="95"/>
        <v>80.351614966531784</v>
      </c>
      <c r="CW96" s="22">
        <f t="shared" si="67"/>
        <v>739.29691040004309</v>
      </c>
      <c r="CX96" s="60">
        <f t="shared" si="68"/>
        <v>1032.6302437333763</v>
      </c>
      <c r="CY96" s="60">
        <f ca="1">AVERAGE(OFFSET($CX$3,0,0,'Données projet'!$E$13+1,1))-AVERAGE(OFFSET($H$3,0,0,'Données projet'!$E$13+1,1))</f>
        <v>621.10465023992288</v>
      </c>
      <c r="CZ96" s="60">
        <f t="shared" si="96"/>
        <v>322.81767004794284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>
        <f>EXP(-LN(2)/35)*DF95+(1-EXP(-LN(2)/35))/(LN(2)/35)*DB96*DC96*VLOOKUP('Données projet'!$B$13,Paramètres!$A$1:$I$89,3,0)*0.475*44/12</f>
        <v>0</v>
      </c>
      <c r="DG96" s="23">
        <f>EXP(-LN(2)/25)*DG95+(1-EXP(-LN(2)/25))/(LN(2)/25)*Calculateur!DB96*Calculateur!DD96*VLOOKUP('Données projet'!$B$13,Paramètres!$A$1:$I$89,3,0)*0.475*44/12</f>
        <v>0</v>
      </c>
      <c r="DH96" s="23">
        <f>EXP(-LN(2)/2)*DH95+(1-EXP(-LN(2)/2))/(LN(2)/2)*DB96*DE96*VLOOKUP('Données projet'!$B$13,Paramètres!$A$1:$I$89,3,0)*0.475*44/12</f>
        <v>0</v>
      </c>
      <c r="DI96" s="24">
        <f t="shared" si="69"/>
        <v>0</v>
      </c>
      <c r="DJ96" s="77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5.9</v>
      </c>
      <c r="DO96" s="13">
        <f>IF('Données projet'!$A$166&gt;35,DO95+DN96-DW95,IF(A96&lt;'Données projet'!$A$166,$DL$205^A96,IF(A96='Données projet'!$A$166,'Données projet'!$B$166,DO95+DN96-DW95)))</f>
        <v>319.70000000000016</v>
      </c>
      <c r="DP96" s="18">
        <f>DO96*VLOOKUP('Données projet'!$B$14,Paramètres!$A$1:$I$89,3,0)*VLOOKUP('Données projet'!$B$14,Paramètres!$A$1:$I$89,5,0)</f>
        <v>309.21384000000012</v>
      </c>
      <c r="DQ96" s="14">
        <f t="shared" si="97"/>
        <v>73.104624418450499</v>
      </c>
      <c r="DR96" s="22">
        <f t="shared" si="70"/>
        <v>665.87132552880155</v>
      </c>
      <c r="DS96" s="60">
        <f t="shared" si="71"/>
        <v>959.20465886213492</v>
      </c>
      <c r="DT96" s="60">
        <f ca="1">AVERAGE(OFFSET($DS$3,0,0,'Données projet'!$E$14+1,1))-AVERAGE(OFFSET($H$3,0,0,'Données projet'!$E$14+1,1))</f>
        <v>562.69380557620775</v>
      </c>
      <c r="DU96" s="60">
        <f t="shared" si="98"/>
        <v>294.45557293177131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>
        <f>EXP(-LN(2)/35)*EA95+(1-EXP(-LN(2)/35))/(LN(2)/35)*DW96*DX96*VLOOKUP('Données projet'!$B$14,Paramètres!$A$1:$I$89,3,0)*0.475*44/12</f>
        <v>0</v>
      </c>
      <c r="EB96" s="23">
        <f>EXP(-LN(2)/25)*EB95+(1-EXP(-LN(2)/25))/(LN(2)/25)*Calculateur!DW96*Calculateur!DY96*VLOOKUP('Données projet'!$B$14,Paramètres!$A$1:$I$89,3,0)*0.475*44/12</f>
        <v>0</v>
      </c>
      <c r="EC96" s="23">
        <f>EXP(-LN(2)/2)*EC95+(1-EXP(-LN(2)/2))/(LN(2)/2)*DW96*DZ96*VLOOKUP('Données projet'!$B$14,Paramètres!$A$1:$I$89,3,0)*0.475*44/12</f>
        <v>0</v>
      </c>
      <c r="ED96" s="24">
        <f t="shared" si="72"/>
        <v>0</v>
      </c>
      <c r="EE96" s="77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1.1368683772161603E-13</v>
      </c>
      <c r="EK96" s="18">
        <f>EJ96*VLOOKUP('Données projet'!$B$15,Paramètres!$A$1:$I$89,3,0)*VLOOKUP('Données projet'!$B$15,Paramètres!$A$1:$I$89,5,0)</f>
        <v>8.8675733422860506E-14</v>
      </c>
      <c r="EL96" s="14">
        <f t="shared" si="99"/>
        <v>1.3509285393066301E-12</v>
      </c>
      <c r="EM96" s="22">
        <f t="shared" si="73"/>
        <v>2.5073107750038623E-12</v>
      </c>
      <c r="EN96" s="60">
        <f t="shared" si="74"/>
        <v>293.33333333333582</v>
      </c>
      <c r="EO96" s="60">
        <f ca="1">AVERAGE(OFFSET($EN$3,0,0,'Données projet'!$E$15+1,1))-AVERAGE(OFFSET($H$3,0,0,'Données projet'!$E$15+1,1))</f>
        <v>292.57482726862594</v>
      </c>
      <c r="EP96" s="60">
        <f t="shared" si="100"/>
        <v>283.48738729114024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>
        <f>EXP(-LN(2)/35)*EV95+(1-EXP(-LN(2)/35))/(LN(2)/35)*ER96*ES96*VLOOKUP('Données projet'!$B$15,Paramètres!$A$1:$I$89,3,0)*0.475*44/12</f>
        <v>0</v>
      </c>
      <c r="EW96" s="23">
        <f>EXP(-LN(2)/25)*EW95+(1-EXP(-LN(2)/25))/(LN(2)/25)*Calculateur!ER96*Calculateur!ET96*VLOOKUP('Données projet'!$B$15,Paramètres!$A$1:$I$89,3,0)*0.475*44/12</f>
        <v>0</v>
      </c>
      <c r="EX96" s="23">
        <f>EXP(-LN(2)/2)*EX95+(1-EXP(-LN(2)/2))/(LN(2)/2)*ER96*EU96*VLOOKUP('Données projet'!$B$15,Paramètres!$A$1:$I$89,3,0)*0.475*44/12</f>
        <v>0</v>
      </c>
      <c r="EY96" s="24">
        <f t="shared" si="75"/>
        <v>0</v>
      </c>
      <c r="EZ96" s="77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0" t="e">
        <f t="shared" si="77"/>
        <v>#N/A</v>
      </c>
      <c r="FJ96" s="60" t="e">
        <f ca="1">AVERAGE(OFFSET($FI$3,0,0,'Données projet'!$E$16+1,1))-AVERAGE(OFFSET($H$3,0,0,'Données projet'!$E$16+1,1))</f>
        <v>#N/A</v>
      </c>
      <c r="FK96" s="60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77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0" t="e">
        <f t="shared" si="80"/>
        <v>#N/A</v>
      </c>
      <c r="GE96" s="60" t="e">
        <f ca="1">AVERAGE(OFFSET($GD$3,0,0,'Données projet'!$E$17+1,1))-AVERAGE(OFFSET($H$3,0,0,'Données projet'!$E$17+1,1))</f>
        <v>#N/A</v>
      </c>
      <c r="GF96" s="60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77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0" t="e">
        <f t="shared" si="83"/>
        <v>#N/A</v>
      </c>
      <c r="GZ96" s="60" t="e">
        <f ca="1">AVERAGE(OFFSET($GY$3,0,0,'Données projet'!$E$18+1,1))-AVERAGE(OFFSET($H$3,0,0,'Données projet'!$E$18+1,1))</f>
        <v>#N/A</v>
      </c>
      <c r="HA96" s="60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25">
      <c r="A97" s="11">
        <f t="shared" si="85"/>
        <v>94</v>
      </c>
      <c r="B97" s="74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2">
        <f t="shared" si="86"/>
        <v>0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0</v>
      </c>
      <c r="H97" s="67">
        <f t="shared" si="56"/>
        <v>256.66666666666669</v>
      </c>
      <c r="I97" s="7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3.8461538461538454</v>
      </c>
      <c r="N97" s="14">
        <f>IF('Données projet'!$A$36&gt;35,N96+M97-V96,IF(A97&lt;'Données projet'!$A$36,$K$205^A97,IF(A97='Données projet'!$A$36,'Données projet'!$B$36,N96+M97-V96)))</f>
        <v>250.00000000000006</v>
      </c>
      <c r="O97" s="14">
        <f>N97*VLOOKUP('Données projet'!$B$9,Paramètres!$A$1:$I$89,3,0)*VLOOKUP('Données projet'!$B$9,Paramètres!$A$1:$I$89,5,0)</f>
        <v>237.90000000000006</v>
      </c>
      <c r="P97" s="14">
        <f t="shared" si="87"/>
        <v>57.987474407587477</v>
      </c>
      <c r="Q97" s="22">
        <f t="shared" si="54"/>
        <v>515.33735125988164</v>
      </c>
      <c r="R97" s="60">
        <f t="shared" si="55"/>
        <v>808.6706845932149</v>
      </c>
      <c r="S97" s="60">
        <f ca="1">AVERAGE(OFFSET($R$3,0,0,'Données projet'!$E$9+1,1))-AVERAGE(OFFSET($H$3,0,0,'Données projet'!$E$9+1,1))</f>
        <v>403.49781966317852</v>
      </c>
      <c r="T97" s="60">
        <f t="shared" si="88"/>
        <v>326.06674572505409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0</v>
      </c>
      <c r="AA97" s="23">
        <f>EXP(-LN(2)/25)*AA96+(1-EXP(-LN(2)/25))/(LN(2)/25)*Calculateur!V97*Calculateur!X97*VLOOKUP('Données projet'!$B$9,Paramètres!$A$1:$I$89,3,0)*0.475*44/12</f>
        <v>0</v>
      </c>
      <c r="AB97" s="23">
        <f>EXP(-LN(2)/2)*AB96+(1-EXP(-LN(2)/2))/(LN(2)/2)*V97*Y97*VLOOKUP('Données projet'!$B$9,Paramètres!$A$1:$I$89,3,0)*0.475*44/12</f>
        <v>0</v>
      </c>
      <c r="AC97" s="24">
        <f t="shared" si="57"/>
        <v>0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0</v>
      </c>
      <c r="AI97" s="14">
        <f>IF('Données projet'!$A$62&gt;35,AI96+AH97-AQ96,IF(A97&lt;'Données projet'!$A$62,$AF$205^A97,IF(A97='Données projet'!$A$62,'Données projet'!$B$62,AI96+AH97-AQ96)))</f>
        <v>-1.1368683772161603E-13</v>
      </c>
      <c r="AJ97" s="14">
        <f>AI97*VLOOKUP('Données projet'!$B$10,Paramètres!$A$1:$I$89,3,0)*VLOOKUP('Données projet'!$B$10,Paramètres!$A$1:$I$89,5,0)</f>
        <v>-9.9316821433603781E-14</v>
      </c>
      <c r="AK97" s="14" t="e">
        <f t="shared" si="89"/>
        <v>#NUM!</v>
      </c>
      <c r="AL97" s="22" t="e">
        <f t="shared" si="58"/>
        <v>#NUM!</v>
      </c>
      <c r="AM97" s="60" t="e">
        <f t="shared" si="59"/>
        <v>#NUM!</v>
      </c>
      <c r="AN97" s="60">
        <f ca="1">AVERAGE(OFFSET($AM$3,0,0,'Données projet'!$E$10+1,1))-AVERAGE(OFFSET($H$3,0,0,'Données projet'!$E$10+1,1))</f>
        <v>274.66236526869056</v>
      </c>
      <c r="AO97" s="60">
        <f t="shared" si="90"/>
        <v>256.90876395053073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>
        <f>EXP(-LN(2)/35)*AU96+(1-EXP(-LN(2)/35))/(LN(2)/35)*AQ97*AR97*VLOOKUP('Données projet'!$B$10,Paramètres!$A$1:$I$89,3,0)*0.475*44/12</f>
        <v>0</v>
      </c>
      <c r="AV97" s="23">
        <f>EXP(-LN(2)/25)*AV96+(1-EXP(-LN(2)/25))/(LN(2)/25)*Calculateur!AQ97*Calculateur!AS97*VLOOKUP('Données projet'!$B$10,Paramètres!$A$1:$I$89,3,0)*0.475*44/12</f>
        <v>0</v>
      </c>
      <c r="AW97" s="23">
        <f>EXP(-LN(2)/2)*AW96+(1-EXP(-LN(2)/2))/(LN(2)/2)*AQ97*AT97*VLOOKUP('Données projet'!$B$10,Paramètres!$A$1:$I$89,3,0)*0.475*44/12</f>
        <v>0</v>
      </c>
      <c r="AX97" s="23">
        <f t="shared" si="60"/>
        <v>0</v>
      </c>
      <c r="AY97" s="76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5.9</v>
      </c>
      <c r="BD97" s="13">
        <f>IF('Données projet'!$A$88&gt;35,BD96+BC97-BL96,IF(A97&lt;'Données projet'!$A$88,$BA$205^A97,IF(A97='Données projet'!$A$88,'Données projet'!$B$88,BD96+BC97-BL96)))</f>
        <v>325.60000000000014</v>
      </c>
      <c r="BE97" s="14">
        <f>BD97*VLOOKUP('Données projet'!$B$11,Paramètres!$A$1:$I$89,3,0)*VLOOKUP('Données projet'!$B$11,Paramètres!$A$1:$I$89,5,0)</f>
        <v>294.60288000000014</v>
      </c>
      <c r="BF97" s="14">
        <f t="shared" si="91"/>
        <v>70.043827142305744</v>
      </c>
      <c r="BG97" s="22">
        <f t="shared" si="61"/>
        <v>635.09301493951614</v>
      </c>
      <c r="BH97" s="60">
        <f t="shared" si="62"/>
        <v>928.42634827284951</v>
      </c>
      <c r="BI97" s="60">
        <f ca="1">AVERAGE(OFFSET($BH$3,0,0,'Données projet'!$E$11+1,1))-AVERAGE(OFFSET($H$3,0,0,'Données projet'!$E$11+1,1))</f>
        <v>529.25712986118265</v>
      </c>
      <c r="BJ97" s="60">
        <f t="shared" si="92"/>
        <v>278.21741231699929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>
        <f>EXP(-LN(2)/35)*BP96+(1-EXP(-LN(2)/35))/(LN(2)/35)*BL97*BM97*VLOOKUP('Données projet'!$B$11,Paramètres!$A$1:$I$89,3,0)*0.475*44/12</f>
        <v>0</v>
      </c>
      <c r="BQ97" s="23">
        <f>EXP(-LN(2)/25)*BQ96+(1-EXP(-LN(2)/25))/(LN(2)/25)*Calculateur!BL97*Calculateur!BN97*VLOOKUP('Données projet'!$B$11,Paramètres!$A$1:$I$89,3,0)*0.475*44/12</f>
        <v>0</v>
      </c>
      <c r="BR97" s="23">
        <f>EXP(-LN(2)/2)*BR96+(1-EXP(-LN(2)/2))/(LN(2)/2)*BL97*BO97*VLOOKUP('Données projet'!$B$11,Paramètres!$A$1:$I$89,3,0)*0.475*44/12</f>
        <v>0</v>
      </c>
      <c r="BS97" s="24">
        <f t="shared" si="63"/>
        <v>0</v>
      </c>
      <c r="BT97" s="77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5.9</v>
      </c>
      <c r="BY97" s="13">
        <f>IF('Données projet'!$A$114&gt;35,BY96+BX97-CG96,IF(A97&lt;'Données projet'!$A$114,$BV$205^A97,IF(A97='Données projet'!$A$114,'Données projet'!$B$114,BY96+BX97-CG96)))</f>
        <v>325.60000000000014</v>
      </c>
      <c r="BZ97" s="14">
        <f>BY97*VLOOKUP('Données projet'!$B$12,Paramètres!$A$1:$I$89,3,0)*VLOOKUP('Données projet'!$B$12,Paramètres!$A$1:$I$89,5,0)</f>
        <v>330.15840000000014</v>
      </c>
      <c r="CA97" s="14">
        <f t="shared" si="93"/>
        <v>77.463146615877591</v>
      </c>
      <c r="CB97" s="22">
        <f t="shared" si="64"/>
        <v>709.94086035598696</v>
      </c>
      <c r="CC97" s="60">
        <f t="shared" si="65"/>
        <v>1003.2741936893203</v>
      </c>
      <c r="CD97" s="60">
        <f ca="1">AVERAGE(OFFSET($CC$3,0,0,'Données projet'!$E$12+1,1))-AVERAGE(OFFSET($H$3,0,0,'Données projet'!$E$12+1,1))</f>
        <v>587.74247372331615</v>
      </c>
      <c r="CE97" s="60">
        <f t="shared" si="94"/>
        <v>306.61893266146666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>
        <f>EXP(-LN(2)/35)*CK96+(1-EXP(-LN(2)/35))/(LN(2)/35)*CG97*CH97*VLOOKUP('Données projet'!$B$12,Paramètres!$A$1:$I$89,3,0)*0.475*44/12</f>
        <v>0</v>
      </c>
      <c r="CL97" s="23">
        <f>EXP(-LN(2)/25)*CL96+(1-EXP(-LN(2)/25))/(LN(2)/25)*Calculateur!CG97*Calculateur!CI97*VLOOKUP('Données projet'!$B$12,Paramètres!$A$1:$I$89,3,0)*0.475*44/12</f>
        <v>0</v>
      </c>
      <c r="CM97" s="23">
        <f>EXP(-LN(2)/2)*CM96+(1-EXP(-LN(2)/2))/(LN(2)/2)*CG97*CJ97*VLOOKUP('Données projet'!$B$12,Paramètres!$A$1:$I$89,3,0)*0.475*44/12</f>
        <v>0</v>
      </c>
      <c r="CN97" s="24">
        <f t="shared" si="66"/>
        <v>0</v>
      </c>
      <c r="CO97" s="77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5.9</v>
      </c>
      <c r="CT97" s="13">
        <f>IF('Données projet'!$A$140&gt;35,CT96+CS97-DB96,IF(A97&lt;'Données projet'!$A$140,$CQ$205^A97,IF(A97='Données projet'!$A$140,'Données projet'!$B$140,CT96+CS97-DB96)))</f>
        <v>325.60000000000014</v>
      </c>
      <c r="CU97" s="18">
        <f>CT97*VLOOKUP('Données projet'!$B$13,Paramètres!$A$1:$I$89,3,0)*VLOOKUP('Données projet'!$B$13,Paramètres!$A$1:$I$89,5,0)</f>
        <v>350.47584000000012</v>
      </c>
      <c r="CV97" s="14">
        <f t="shared" si="95"/>
        <v>81.660483887079877</v>
      </c>
      <c r="CW97" s="22">
        <f t="shared" si="67"/>
        <v>752.63743076999765</v>
      </c>
      <c r="CX97" s="60">
        <f t="shared" si="68"/>
        <v>1045.970764103331</v>
      </c>
      <c r="CY97" s="60">
        <f ca="1">AVERAGE(OFFSET($CX$3,0,0,'Données projet'!$E$13+1,1))-AVERAGE(OFFSET($H$3,0,0,'Données projet'!$E$13+1,1))</f>
        <v>621.10465023992288</v>
      </c>
      <c r="CZ97" s="60">
        <f t="shared" si="96"/>
        <v>322.81767004794284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>
        <f>EXP(-LN(2)/35)*DF96+(1-EXP(-LN(2)/35))/(LN(2)/35)*DB97*DC97*VLOOKUP('Données projet'!$B$13,Paramètres!$A$1:$I$89,3,0)*0.475*44/12</f>
        <v>0</v>
      </c>
      <c r="DG97" s="23">
        <f>EXP(-LN(2)/25)*DG96+(1-EXP(-LN(2)/25))/(LN(2)/25)*Calculateur!DB97*Calculateur!DD97*VLOOKUP('Données projet'!$B$13,Paramètres!$A$1:$I$89,3,0)*0.475*44/12</f>
        <v>0</v>
      </c>
      <c r="DH97" s="23">
        <f>EXP(-LN(2)/2)*DH96+(1-EXP(-LN(2)/2))/(LN(2)/2)*DB97*DE97*VLOOKUP('Données projet'!$B$13,Paramètres!$A$1:$I$89,3,0)*0.475*44/12</f>
        <v>0</v>
      </c>
      <c r="DI97" s="24">
        <f t="shared" si="69"/>
        <v>0</v>
      </c>
      <c r="DJ97" s="77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5.9</v>
      </c>
      <c r="DO97" s="13">
        <f>IF('Données projet'!$A$166&gt;35,DO96+DN97-DW96,IF(A97&lt;'Données projet'!$A$166,$DL$205^A97,IF(A97='Données projet'!$A$166,'Données projet'!$B$166,DO96+DN97-DW96)))</f>
        <v>325.60000000000014</v>
      </c>
      <c r="DP97" s="18">
        <f>DO97*VLOOKUP('Données projet'!$B$14,Paramètres!$A$1:$I$89,3,0)*VLOOKUP('Données projet'!$B$14,Paramètres!$A$1:$I$89,5,0)</f>
        <v>314.92032000000012</v>
      </c>
      <c r="DQ97" s="14">
        <f t="shared" si="97"/>
        <v>74.295445174069556</v>
      </c>
      <c r="DR97" s="22">
        <f t="shared" si="70"/>
        <v>677.88412434483791</v>
      </c>
      <c r="DS97" s="60">
        <f t="shared" si="71"/>
        <v>971.21745767817129</v>
      </c>
      <c r="DT97" s="60">
        <f ca="1">AVERAGE(OFFSET($DS$3,0,0,'Données projet'!$E$14+1,1))-AVERAGE(OFFSET($H$3,0,0,'Données projet'!$E$14+1,1))</f>
        <v>562.69380557620775</v>
      </c>
      <c r="DU97" s="60">
        <f t="shared" si="98"/>
        <v>294.45557293177131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>
        <f>EXP(-LN(2)/35)*EA96+(1-EXP(-LN(2)/35))/(LN(2)/35)*DW97*DX97*VLOOKUP('Données projet'!$B$14,Paramètres!$A$1:$I$89,3,0)*0.475*44/12</f>
        <v>0</v>
      </c>
      <c r="EB97" s="23">
        <f>EXP(-LN(2)/25)*EB96+(1-EXP(-LN(2)/25))/(LN(2)/25)*Calculateur!DW97*Calculateur!DY97*VLOOKUP('Données projet'!$B$14,Paramètres!$A$1:$I$89,3,0)*0.475*44/12</f>
        <v>0</v>
      </c>
      <c r="EC97" s="23">
        <f>EXP(-LN(2)/2)*EC96+(1-EXP(-LN(2)/2))/(LN(2)/2)*DW97*DZ97*VLOOKUP('Données projet'!$B$14,Paramètres!$A$1:$I$89,3,0)*0.475*44/12</f>
        <v>0</v>
      </c>
      <c r="ED97" s="24">
        <f t="shared" si="72"/>
        <v>0</v>
      </c>
      <c r="EE97" s="77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1.1368683772161603E-13</v>
      </c>
      <c r="EK97" s="18">
        <f>EJ97*VLOOKUP('Données projet'!$B$15,Paramètres!$A$1:$I$89,3,0)*VLOOKUP('Données projet'!$B$15,Paramètres!$A$1:$I$89,5,0)</f>
        <v>8.8675733422860506E-14</v>
      </c>
      <c r="EL97" s="14">
        <f t="shared" si="99"/>
        <v>1.3509285393066301E-12</v>
      </c>
      <c r="EM97" s="22">
        <f t="shared" si="73"/>
        <v>2.5073107750038623E-12</v>
      </c>
      <c r="EN97" s="60">
        <f t="shared" si="74"/>
        <v>293.33333333333582</v>
      </c>
      <c r="EO97" s="60">
        <f ca="1">AVERAGE(OFFSET($EN$3,0,0,'Données projet'!$E$15+1,1))-AVERAGE(OFFSET($H$3,0,0,'Données projet'!$E$15+1,1))</f>
        <v>292.57482726862594</v>
      </c>
      <c r="EP97" s="60">
        <f t="shared" si="100"/>
        <v>283.48738729114024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>
        <f>EXP(-LN(2)/35)*EV96+(1-EXP(-LN(2)/35))/(LN(2)/35)*ER97*ES97*VLOOKUP('Données projet'!$B$15,Paramètres!$A$1:$I$89,3,0)*0.475*44/12</f>
        <v>0</v>
      </c>
      <c r="EW97" s="23">
        <f>EXP(-LN(2)/25)*EW96+(1-EXP(-LN(2)/25))/(LN(2)/25)*Calculateur!ER97*Calculateur!ET97*VLOOKUP('Données projet'!$B$15,Paramètres!$A$1:$I$89,3,0)*0.475*44/12</f>
        <v>0</v>
      </c>
      <c r="EX97" s="23">
        <f>EXP(-LN(2)/2)*EX96+(1-EXP(-LN(2)/2))/(LN(2)/2)*ER97*EU97*VLOOKUP('Données projet'!$B$15,Paramètres!$A$1:$I$89,3,0)*0.475*44/12</f>
        <v>0</v>
      </c>
      <c r="EY97" s="24">
        <f t="shared" si="75"/>
        <v>0</v>
      </c>
      <c r="EZ97" s="77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0" t="e">
        <f t="shared" si="77"/>
        <v>#N/A</v>
      </c>
      <c r="FJ97" s="60" t="e">
        <f ca="1">AVERAGE(OFFSET($FI$3,0,0,'Données projet'!$E$16+1,1))-AVERAGE(OFFSET($H$3,0,0,'Données projet'!$E$16+1,1))</f>
        <v>#N/A</v>
      </c>
      <c r="FK97" s="60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77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0" t="e">
        <f t="shared" si="80"/>
        <v>#N/A</v>
      </c>
      <c r="GE97" s="60" t="e">
        <f ca="1">AVERAGE(OFFSET($GD$3,0,0,'Données projet'!$E$17+1,1))-AVERAGE(OFFSET($H$3,0,0,'Données projet'!$E$17+1,1))</f>
        <v>#N/A</v>
      </c>
      <c r="GF97" s="60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77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0" t="e">
        <f t="shared" si="83"/>
        <v>#N/A</v>
      </c>
      <c r="GZ97" s="60" t="e">
        <f ca="1">AVERAGE(OFFSET($GY$3,0,0,'Données projet'!$E$18+1,1))-AVERAGE(OFFSET($H$3,0,0,'Données projet'!$E$18+1,1))</f>
        <v>#N/A</v>
      </c>
      <c r="HA97" s="60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25">
      <c r="A98" s="11">
        <f t="shared" si="85"/>
        <v>95</v>
      </c>
      <c r="B98" s="74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2">
        <f t="shared" si="86"/>
        <v>0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0</v>
      </c>
      <c r="H98" s="67">
        <f t="shared" si="56"/>
        <v>256.66666666666669</v>
      </c>
      <c r="I98" s="7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>
        <f>VLOOKUP(A98,'Données projet'!$A$35:$I$55,2,0)</f>
        <v>253.84615384615384</v>
      </c>
      <c r="L98" s="13">
        <f>VLOOKUP(A98,'Données projet'!$A$35:$I$55,9,0)</f>
        <v>3.8461538461538454</v>
      </c>
      <c r="M98" s="13">
        <f t="array" ref="M98">INDEX(L:L,MIN(IF(ISNUMBER(L98:L294),ROW(L98:L294),"")))</f>
        <v>3.8461538461538454</v>
      </c>
      <c r="N98" s="14">
        <f>IF('Données projet'!$A$36&gt;35,N97+M98-V97,IF(A98&lt;'Données projet'!$A$36,$K$205^A98,IF(A98='Données projet'!$A$36,'Données projet'!$B$36,N97+M98-V97)))</f>
        <v>253.8461538461539</v>
      </c>
      <c r="O98" s="14">
        <f>N98*VLOOKUP('Données projet'!$B$9,Paramètres!$A$1:$I$89,3,0)*VLOOKUP('Données projet'!$B$9,Paramètres!$A$1:$I$89,5,0)</f>
        <v>241.56000000000003</v>
      </c>
      <c r="P98" s="14">
        <f t="shared" si="87"/>
        <v>58.775045414448314</v>
      </c>
      <c r="Q98" s="22">
        <f t="shared" si="54"/>
        <v>523.08353743016426</v>
      </c>
      <c r="R98" s="60">
        <f t="shared" si="55"/>
        <v>816.41687076349763</v>
      </c>
      <c r="S98" s="60">
        <f ca="1">AVERAGE(OFFSET($R$3,0,0,'Données projet'!$E$9+1,1))-AVERAGE(OFFSET($H$3,0,0,'Données projet'!$E$9+1,1))</f>
        <v>403.49781966317852</v>
      </c>
      <c r="T98" s="60">
        <f t="shared" si="88"/>
        <v>326.06674572505409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0</v>
      </c>
      <c r="AA98" s="23">
        <f>EXP(-LN(2)/25)*AA97+(1-EXP(-LN(2)/25))/(LN(2)/25)*Calculateur!V98*Calculateur!X98*VLOOKUP('Données projet'!$B$9,Paramètres!$A$1:$I$89,3,0)*0.475*44/12</f>
        <v>0</v>
      </c>
      <c r="AB98" s="23">
        <f>EXP(-LN(2)/2)*AB97+(1-EXP(-LN(2)/2))/(LN(2)/2)*V98*Y98*VLOOKUP('Données projet'!$B$9,Paramètres!$A$1:$I$89,3,0)*0.475*44/12</f>
        <v>0</v>
      </c>
      <c r="AC98" s="24">
        <f t="shared" si="57"/>
        <v>0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0</v>
      </c>
      <c r="AI98" s="14">
        <f>IF('Données projet'!$A$62&gt;35,AI97+AH98-AQ97,IF(A98&lt;'Données projet'!$A$62,$AF$205^A98,IF(A98='Données projet'!$A$62,'Données projet'!$B$62,AI97+AH98-AQ97)))</f>
        <v>-1.1368683772161603E-13</v>
      </c>
      <c r="AJ98" s="14">
        <f>AI98*VLOOKUP('Données projet'!$B$10,Paramètres!$A$1:$I$89,3,0)*VLOOKUP('Données projet'!$B$10,Paramètres!$A$1:$I$89,5,0)</f>
        <v>-9.9316821433603781E-14</v>
      </c>
      <c r="AK98" s="14" t="e">
        <f t="shared" si="89"/>
        <v>#NUM!</v>
      </c>
      <c r="AL98" s="22" t="e">
        <f t="shared" si="58"/>
        <v>#NUM!</v>
      </c>
      <c r="AM98" s="60" t="e">
        <f t="shared" si="59"/>
        <v>#NUM!</v>
      </c>
      <c r="AN98" s="60">
        <f ca="1">AVERAGE(OFFSET($AM$3,0,0,'Données projet'!$E$10+1,1))-AVERAGE(OFFSET($H$3,0,0,'Données projet'!$E$10+1,1))</f>
        <v>274.66236526869056</v>
      </c>
      <c r="AO98" s="60">
        <f t="shared" si="90"/>
        <v>256.90876395053073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>
        <f>EXP(-LN(2)/35)*AU97+(1-EXP(-LN(2)/35))/(LN(2)/35)*AQ98*AR98*VLOOKUP('Données projet'!$B$10,Paramètres!$A$1:$I$89,3,0)*0.475*44/12</f>
        <v>0</v>
      </c>
      <c r="AV98" s="23">
        <f>EXP(-LN(2)/25)*AV97+(1-EXP(-LN(2)/25))/(LN(2)/25)*Calculateur!AQ98*Calculateur!AS98*VLOOKUP('Données projet'!$B$10,Paramètres!$A$1:$I$89,3,0)*0.475*44/12</f>
        <v>0</v>
      </c>
      <c r="AW98" s="23">
        <f>EXP(-LN(2)/2)*AW97+(1-EXP(-LN(2)/2))/(LN(2)/2)*AQ98*AT98*VLOOKUP('Données projet'!$B$10,Paramètres!$A$1:$I$89,3,0)*0.475*44/12</f>
        <v>0</v>
      </c>
      <c r="AX98" s="23">
        <f t="shared" si="60"/>
        <v>0</v>
      </c>
      <c r="AY98" s="76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5.9</v>
      </c>
      <c r="BD98" s="13">
        <f>IF('Données projet'!$A$88&gt;35,BD97+BC98-BL97,IF(A98&lt;'Données projet'!$A$88,$BA$205^A98,IF(A98='Données projet'!$A$88,'Données projet'!$B$88,BD97+BC98-BL97)))</f>
        <v>331.50000000000011</v>
      </c>
      <c r="BE98" s="14">
        <f>BD98*VLOOKUP('Données projet'!$B$11,Paramètres!$A$1:$I$89,3,0)*VLOOKUP('Données projet'!$B$11,Paramètres!$A$1:$I$89,5,0)</f>
        <v>299.94120000000009</v>
      </c>
      <c r="BF98" s="14">
        <f t="shared" si="91"/>
        <v>71.164136596531577</v>
      </c>
      <c r="BG98" s="22">
        <f t="shared" si="61"/>
        <v>646.34179457229266</v>
      </c>
      <c r="BH98" s="60">
        <f t="shared" si="62"/>
        <v>939.67512790562591</v>
      </c>
      <c r="BI98" s="60">
        <f ca="1">AVERAGE(OFFSET($BH$3,0,0,'Données projet'!$E$11+1,1))-AVERAGE(OFFSET($H$3,0,0,'Données projet'!$E$11+1,1))</f>
        <v>529.25712986118265</v>
      </c>
      <c r="BJ98" s="60">
        <f t="shared" si="92"/>
        <v>278.21741231699929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>
        <f>EXP(-LN(2)/35)*BP97+(1-EXP(-LN(2)/35))/(LN(2)/35)*BL98*BM98*VLOOKUP('Données projet'!$B$11,Paramètres!$A$1:$I$89,3,0)*0.475*44/12</f>
        <v>0</v>
      </c>
      <c r="BQ98" s="23">
        <f>EXP(-LN(2)/25)*BQ97+(1-EXP(-LN(2)/25))/(LN(2)/25)*Calculateur!BL98*Calculateur!BN98*VLOOKUP('Données projet'!$B$11,Paramètres!$A$1:$I$89,3,0)*0.475*44/12</f>
        <v>0</v>
      </c>
      <c r="BR98" s="23">
        <f>EXP(-LN(2)/2)*BR97+(1-EXP(-LN(2)/2))/(LN(2)/2)*BL98*BO98*VLOOKUP('Données projet'!$B$11,Paramètres!$A$1:$I$89,3,0)*0.475*44/12</f>
        <v>0</v>
      </c>
      <c r="BS98" s="24">
        <f t="shared" si="63"/>
        <v>0</v>
      </c>
      <c r="BT98" s="77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5.9</v>
      </c>
      <c r="BY98" s="13">
        <f>IF('Données projet'!$A$114&gt;35,BY97+BX98-CG97,IF(A98&lt;'Données projet'!$A$114,$BV$205^A98,IF(A98='Données projet'!$A$114,'Données projet'!$B$114,BY97+BX98-CG97)))</f>
        <v>331.50000000000011</v>
      </c>
      <c r="BZ98" s="14">
        <f>BY98*VLOOKUP('Données projet'!$B$12,Paramètres!$A$1:$I$89,3,0)*VLOOKUP('Données projet'!$B$12,Paramètres!$A$1:$I$89,5,0)</f>
        <v>336.14100000000013</v>
      </c>
      <c r="CA98" s="14">
        <f t="shared" si="93"/>
        <v>78.70212368278645</v>
      </c>
      <c r="CB98" s="22">
        <f t="shared" si="64"/>
        <v>722.51844041418656</v>
      </c>
      <c r="CC98" s="60">
        <f t="shared" si="65"/>
        <v>1015.8517737475199</v>
      </c>
      <c r="CD98" s="60">
        <f ca="1">AVERAGE(OFFSET($CC$3,0,0,'Données projet'!$E$12+1,1))-AVERAGE(OFFSET($H$3,0,0,'Données projet'!$E$12+1,1))</f>
        <v>587.74247372331615</v>
      </c>
      <c r="CE98" s="60">
        <f t="shared" si="94"/>
        <v>306.61893266146666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>
        <f>EXP(-LN(2)/35)*CK97+(1-EXP(-LN(2)/35))/(LN(2)/35)*CG98*CH98*VLOOKUP('Données projet'!$B$12,Paramètres!$A$1:$I$89,3,0)*0.475*44/12</f>
        <v>0</v>
      </c>
      <c r="CL98" s="23">
        <f>EXP(-LN(2)/25)*CL97+(1-EXP(-LN(2)/25))/(LN(2)/25)*Calculateur!CG98*Calculateur!CI98*VLOOKUP('Données projet'!$B$12,Paramètres!$A$1:$I$89,3,0)*0.475*44/12</f>
        <v>0</v>
      </c>
      <c r="CM98" s="23">
        <f>EXP(-LN(2)/2)*CM97+(1-EXP(-LN(2)/2))/(LN(2)/2)*CG98*CJ98*VLOOKUP('Données projet'!$B$12,Paramètres!$A$1:$I$89,3,0)*0.475*44/12</f>
        <v>0</v>
      </c>
      <c r="CN98" s="24">
        <f t="shared" si="66"/>
        <v>0</v>
      </c>
      <c r="CO98" s="77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5.9</v>
      </c>
      <c r="CT98" s="13">
        <f>IF('Données projet'!$A$140&gt;35,CT97+CS98-DB97,IF(A98&lt;'Données projet'!$A$140,$CQ$205^A98,IF(A98='Données projet'!$A$140,'Données projet'!$B$140,CT97+CS98-DB97)))</f>
        <v>331.50000000000011</v>
      </c>
      <c r="CU98" s="18">
        <f>CT98*VLOOKUP('Données projet'!$B$13,Paramètres!$A$1:$I$89,3,0)*VLOOKUP('Données projet'!$B$13,Paramètres!$A$1:$I$89,5,0)</f>
        <v>356.8266000000001</v>
      </c>
      <c r="CV98" s="14">
        <f t="shared" si="95"/>
        <v>82.966594873127022</v>
      </c>
      <c r="CW98" s="22">
        <f t="shared" si="67"/>
        <v>765.97314773736298</v>
      </c>
      <c r="CX98" s="60">
        <f t="shared" si="68"/>
        <v>1059.3064810706962</v>
      </c>
      <c r="CY98" s="60">
        <f ca="1">AVERAGE(OFFSET($CX$3,0,0,'Données projet'!$E$13+1,1))-AVERAGE(OFFSET($H$3,0,0,'Données projet'!$E$13+1,1))</f>
        <v>621.10465023992288</v>
      </c>
      <c r="CZ98" s="60">
        <f t="shared" si="96"/>
        <v>322.81767004794284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>
        <f>EXP(-LN(2)/35)*DF97+(1-EXP(-LN(2)/35))/(LN(2)/35)*DB98*DC98*VLOOKUP('Données projet'!$B$13,Paramètres!$A$1:$I$89,3,0)*0.475*44/12</f>
        <v>0</v>
      </c>
      <c r="DG98" s="23">
        <f>EXP(-LN(2)/25)*DG97+(1-EXP(-LN(2)/25))/(LN(2)/25)*Calculateur!DB98*Calculateur!DD98*VLOOKUP('Données projet'!$B$13,Paramètres!$A$1:$I$89,3,0)*0.475*44/12</f>
        <v>0</v>
      </c>
      <c r="DH98" s="23">
        <f>EXP(-LN(2)/2)*DH97+(1-EXP(-LN(2)/2))/(LN(2)/2)*DB98*DE98*VLOOKUP('Données projet'!$B$13,Paramètres!$A$1:$I$89,3,0)*0.475*44/12</f>
        <v>0</v>
      </c>
      <c r="DI98" s="24">
        <f t="shared" si="69"/>
        <v>0</v>
      </c>
      <c r="DJ98" s="77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5.9</v>
      </c>
      <c r="DO98" s="13">
        <f>IF('Données projet'!$A$166&gt;35,DO97+DN98-DW97,IF(A98&lt;'Données projet'!$A$166,$DL$205^A98,IF(A98='Données projet'!$A$166,'Données projet'!$B$166,DO97+DN98-DW97)))</f>
        <v>331.50000000000011</v>
      </c>
      <c r="DP98" s="18">
        <f>DO98*VLOOKUP('Données projet'!$B$14,Paramètres!$A$1:$I$89,3,0)*VLOOKUP('Données projet'!$B$14,Paramètres!$A$1:$I$89,5,0)</f>
        <v>320.62680000000012</v>
      </c>
      <c r="DQ98" s="14">
        <f t="shared" si="97"/>
        <v>75.483756735990909</v>
      </c>
      <c r="DR98" s="22">
        <f t="shared" si="70"/>
        <v>689.89255298185105</v>
      </c>
      <c r="DS98" s="60">
        <f t="shared" si="71"/>
        <v>983.22588631518443</v>
      </c>
      <c r="DT98" s="60">
        <f ca="1">AVERAGE(OFFSET($DS$3,0,0,'Données projet'!$E$14+1,1))-AVERAGE(OFFSET($H$3,0,0,'Données projet'!$E$14+1,1))</f>
        <v>562.69380557620775</v>
      </c>
      <c r="DU98" s="60">
        <f t="shared" si="98"/>
        <v>294.45557293177131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>
        <f>EXP(-LN(2)/35)*EA97+(1-EXP(-LN(2)/35))/(LN(2)/35)*DW98*DX98*VLOOKUP('Données projet'!$B$14,Paramètres!$A$1:$I$89,3,0)*0.475*44/12</f>
        <v>0</v>
      </c>
      <c r="EB98" s="23">
        <f>EXP(-LN(2)/25)*EB97+(1-EXP(-LN(2)/25))/(LN(2)/25)*Calculateur!DW98*Calculateur!DY98*VLOOKUP('Données projet'!$B$14,Paramètres!$A$1:$I$89,3,0)*0.475*44/12</f>
        <v>0</v>
      </c>
      <c r="EC98" s="23">
        <f>EXP(-LN(2)/2)*EC97+(1-EXP(-LN(2)/2))/(LN(2)/2)*DW98*DZ98*VLOOKUP('Données projet'!$B$14,Paramètres!$A$1:$I$89,3,0)*0.475*44/12</f>
        <v>0</v>
      </c>
      <c r="ED98" s="24">
        <f t="shared" si="72"/>
        <v>0</v>
      </c>
      <c r="EE98" s="77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1.1368683772161603E-13</v>
      </c>
      <c r="EK98" s="18">
        <f>EJ98*VLOOKUP('Données projet'!$B$15,Paramètres!$A$1:$I$89,3,0)*VLOOKUP('Données projet'!$B$15,Paramètres!$A$1:$I$89,5,0)</f>
        <v>8.8675733422860506E-14</v>
      </c>
      <c r="EL98" s="14">
        <f t="shared" si="99"/>
        <v>1.3509285393066301E-12</v>
      </c>
      <c r="EM98" s="22">
        <f t="shared" si="73"/>
        <v>2.5073107750038623E-12</v>
      </c>
      <c r="EN98" s="60">
        <f t="shared" si="74"/>
        <v>293.33333333333582</v>
      </c>
      <c r="EO98" s="60">
        <f ca="1">AVERAGE(OFFSET($EN$3,0,0,'Données projet'!$E$15+1,1))-AVERAGE(OFFSET($H$3,0,0,'Données projet'!$E$15+1,1))</f>
        <v>292.57482726862594</v>
      </c>
      <c r="EP98" s="60">
        <f t="shared" si="100"/>
        <v>283.48738729114024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>
        <f>EXP(-LN(2)/35)*EV97+(1-EXP(-LN(2)/35))/(LN(2)/35)*ER98*ES98*VLOOKUP('Données projet'!$B$15,Paramètres!$A$1:$I$89,3,0)*0.475*44/12</f>
        <v>0</v>
      </c>
      <c r="EW98" s="23">
        <f>EXP(-LN(2)/25)*EW97+(1-EXP(-LN(2)/25))/(LN(2)/25)*Calculateur!ER98*Calculateur!ET98*VLOOKUP('Données projet'!$B$15,Paramètres!$A$1:$I$89,3,0)*0.475*44/12</f>
        <v>0</v>
      </c>
      <c r="EX98" s="23">
        <f>EXP(-LN(2)/2)*EX97+(1-EXP(-LN(2)/2))/(LN(2)/2)*ER98*EU98*VLOOKUP('Données projet'!$B$15,Paramètres!$A$1:$I$89,3,0)*0.475*44/12</f>
        <v>0</v>
      </c>
      <c r="EY98" s="24">
        <f t="shared" si="75"/>
        <v>0</v>
      </c>
      <c r="EZ98" s="77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0" t="e">
        <f t="shared" si="77"/>
        <v>#N/A</v>
      </c>
      <c r="FJ98" s="60" t="e">
        <f ca="1">AVERAGE(OFFSET($FI$3,0,0,'Données projet'!$E$16+1,1))-AVERAGE(OFFSET($H$3,0,0,'Données projet'!$E$16+1,1))</f>
        <v>#N/A</v>
      </c>
      <c r="FK98" s="60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77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0" t="e">
        <f t="shared" si="80"/>
        <v>#N/A</v>
      </c>
      <c r="GE98" s="60" t="e">
        <f ca="1">AVERAGE(OFFSET($GD$3,0,0,'Données projet'!$E$17+1,1))-AVERAGE(OFFSET($H$3,0,0,'Données projet'!$E$17+1,1))</f>
        <v>#N/A</v>
      </c>
      <c r="GF98" s="60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77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0" t="e">
        <f t="shared" si="83"/>
        <v>#N/A</v>
      </c>
      <c r="GZ98" s="60" t="e">
        <f ca="1">AVERAGE(OFFSET($GY$3,0,0,'Données projet'!$E$18+1,1))-AVERAGE(OFFSET($H$3,0,0,'Données projet'!$E$18+1,1))</f>
        <v>#N/A</v>
      </c>
      <c r="HA98" s="60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25">
      <c r="A99" s="11">
        <f t="shared" si="85"/>
        <v>96</v>
      </c>
      <c r="B99" s="74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2">
        <f t="shared" si="86"/>
        <v>0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0</v>
      </c>
      <c r="H99" s="67">
        <f t="shared" si="56"/>
        <v>256.66666666666669</v>
      </c>
      <c r="I99" s="7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3.5897435897435854</v>
      </c>
      <c r="N99" s="14">
        <f>IF('Données projet'!$A$36&gt;35,N98+M99-V98,IF(A99&lt;'Données projet'!$A$36,$K$205^A99,IF(A99='Données projet'!$A$36,'Données projet'!$B$36,N98+M99-V98)))</f>
        <v>257.43589743589746</v>
      </c>
      <c r="O99" s="14">
        <f>N99*VLOOKUP('Données projet'!$B$9,Paramètres!$A$1:$I$89,3,0)*VLOOKUP('Données projet'!$B$9,Paramètres!$A$1:$I$89,5,0)</f>
        <v>244.97600000000003</v>
      </c>
      <c r="P99" s="14">
        <f t="shared" si="87"/>
        <v>59.508859097480205</v>
      </c>
      <c r="Q99" s="22">
        <f t="shared" ref="Q99:Q130" si="107">(O99+P99)*0.475*44/12</f>
        <v>530.31112959477809</v>
      </c>
      <c r="R99" s="60">
        <f t="shared" si="55"/>
        <v>823.64446292811135</v>
      </c>
      <c r="S99" s="60">
        <f ca="1">AVERAGE(OFFSET($R$3,0,0,'Données projet'!$E$9+1,1))-AVERAGE(OFFSET($H$3,0,0,'Données projet'!$E$9+1,1))</f>
        <v>403.49781966317852</v>
      </c>
      <c r="T99" s="60">
        <f t="shared" si="88"/>
        <v>326.06674572505409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0</v>
      </c>
      <c r="AA99" s="23">
        <f>EXP(-LN(2)/25)*AA98+(1-EXP(-LN(2)/25))/(LN(2)/25)*Calculateur!V99*Calculateur!X99*VLOOKUP('Données projet'!$B$9,Paramètres!$A$1:$I$89,3,0)*0.475*44/12</f>
        <v>0</v>
      </c>
      <c r="AB99" s="23">
        <f>EXP(-LN(2)/2)*AB98+(1-EXP(-LN(2)/2))/(LN(2)/2)*V99*Y99*VLOOKUP('Données projet'!$B$9,Paramètres!$A$1:$I$89,3,0)*0.475*44/12</f>
        <v>0</v>
      </c>
      <c r="AC99" s="24">
        <f t="shared" si="57"/>
        <v>0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0</v>
      </c>
      <c r="AI99" s="14">
        <f>IF('Données projet'!$A$62&gt;35,AI98+AH99-AQ98,IF(A99&lt;'Données projet'!$A$62,$AF$205^A99,IF(A99='Données projet'!$A$62,'Données projet'!$B$62,AI98+AH99-AQ98)))</f>
        <v>-1.1368683772161603E-13</v>
      </c>
      <c r="AJ99" s="14">
        <f>AI99*VLOOKUP('Données projet'!$B$10,Paramètres!$A$1:$I$89,3,0)*VLOOKUP('Données projet'!$B$10,Paramètres!$A$1:$I$89,5,0)</f>
        <v>-9.9316821433603781E-14</v>
      </c>
      <c r="AK99" s="14" t="e">
        <f t="shared" si="89"/>
        <v>#NUM!</v>
      </c>
      <c r="AL99" s="22" t="e">
        <f t="shared" si="58"/>
        <v>#NUM!</v>
      </c>
      <c r="AM99" s="60" t="e">
        <f t="shared" si="59"/>
        <v>#NUM!</v>
      </c>
      <c r="AN99" s="60">
        <f ca="1">AVERAGE(OFFSET($AM$3,0,0,'Données projet'!$E$10+1,1))-AVERAGE(OFFSET($H$3,0,0,'Données projet'!$E$10+1,1))</f>
        <v>274.66236526869056</v>
      </c>
      <c r="AO99" s="60">
        <f t="shared" si="90"/>
        <v>256.90876395053073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>
        <f>EXP(-LN(2)/35)*AU98+(1-EXP(-LN(2)/35))/(LN(2)/35)*AQ99*AR99*VLOOKUP('Données projet'!$B$10,Paramètres!$A$1:$I$89,3,0)*0.475*44/12</f>
        <v>0</v>
      </c>
      <c r="AV99" s="23">
        <f>EXP(-LN(2)/25)*AV98+(1-EXP(-LN(2)/25))/(LN(2)/25)*Calculateur!AQ99*Calculateur!AS99*VLOOKUP('Données projet'!$B$10,Paramètres!$A$1:$I$89,3,0)*0.475*44/12</f>
        <v>0</v>
      </c>
      <c r="AW99" s="23">
        <f>EXP(-LN(2)/2)*AW98+(1-EXP(-LN(2)/2))/(LN(2)/2)*AQ99*AT99*VLOOKUP('Données projet'!$B$10,Paramètres!$A$1:$I$89,3,0)*0.475*44/12</f>
        <v>0</v>
      </c>
      <c r="AX99" s="23">
        <f t="shared" si="60"/>
        <v>0</v>
      </c>
      <c r="AY99" s="76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5.9</v>
      </c>
      <c r="BD99" s="13">
        <f>IF('Données projet'!$A$88&gt;35,BD98+BC99-BL98,IF(A99&lt;'Données projet'!$A$88,$BA$205^A99,IF(A99='Données projet'!$A$88,'Données projet'!$B$88,BD98+BC99-BL98)))</f>
        <v>337.40000000000009</v>
      </c>
      <c r="BE99" s="14">
        <f>BD99*VLOOKUP('Données projet'!$B$11,Paramètres!$A$1:$I$89,3,0)*VLOOKUP('Données projet'!$B$11,Paramètres!$A$1:$I$89,5,0)</f>
        <v>305.27952000000005</v>
      </c>
      <c r="BF99" s="14">
        <f t="shared" si="91"/>
        <v>72.282127407576866</v>
      </c>
      <c r="BG99" s="22">
        <f t="shared" si="61"/>
        <v>657.58653590152971</v>
      </c>
      <c r="BH99" s="60">
        <f t="shared" si="62"/>
        <v>950.91986923486297</v>
      </c>
      <c r="BI99" s="60">
        <f ca="1">AVERAGE(OFFSET($BH$3,0,0,'Données projet'!$E$11+1,1))-AVERAGE(OFFSET($H$3,0,0,'Données projet'!$E$11+1,1))</f>
        <v>529.25712986118265</v>
      </c>
      <c r="BJ99" s="60">
        <f t="shared" si="92"/>
        <v>278.21741231699929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>
        <f>EXP(-LN(2)/35)*BP98+(1-EXP(-LN(2)/35))/(LN(2)/35)*BL99*BM99*VLOOKUP('Données projet'!$B$11,Paramètres!$A$1:$I$89,3,0)*0.475*44/12</f>
        <v>0</v>
      </c>
      <c r="BQ99" s="23">
        <f>EXP(-LN(2)/25)*BQ98+(1-EXP(-LN(2)/25))/(LN(2)/25)*Calculateur!BL99*Calculateur!BN99*VLOOKUP('Données projet'!$B$11,Paramètres!$A$1:$I$89,3,0)*0.475*44/12</f>
        <v>0</v>
      </c>
      <c r="BR99" s="23">
        <f>EXP(-LN(2)/2)*BR98+(1-EXP(-LN(2)/2))/(LN(2)/2)*BL99*BO99*VLOOKUP('Données projet'!$B$11,Paramètres!$A$1:$I$89,3,0)*0.475*44/12</f>
        <v>0</v>
      </c>
      <c r="BS99" s="24">
        <f t="shared" si="63"/>
        <v>0</v>
      </c>
      <c r="BT99" s="77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5.9</v>
      </c>
      <c r="BY99" s="13">
        <f>IF('Données projet'!$A$114&gt;35,BY98+BX99-CG98,IF(A99&lt;'Données projet'!$A$114,$BV$205^A99,IF(A99='Données projet'!$A$114,'Données projet'!$B$114,BY98+BX99-CG98)))</f>
        <v>337.40000000000009</v>
      </c>
      <c r="BZ99" s="14">
        <f>BY99*VLOOKUP('Données projet'!$B$12,Paramètres!$A$1:$I$89,3,0)*VLOOKUP('Données projet'!$B$12,Paramètres!$A$1:$I$89,5,0)</f>
        <v>342.12360000000012</v>
      </c>
      <c r="CA99" s="14">
        <f t="shared" si="93"/>
        <v>79.938536506649669</v>
      </c>
      <c r="CB99" s="22">
        <f t="shared" si="64"/>
        <v>735.09155441574831</v>
      </c>
      <c r="CC99" s="60">
        <f t="shared" si="65"/>
        <v>1028.4248877490816</v>
      </c>
      <c r="CD99" s="60">
        <f ca="1">AVERAGE(OFFSET($CC$3,0,0,'Données projet'!$E$12+1,1))-AVERAGE(OFFSET($H$3,0,0,'Données projet'!$E$12+1,1))</f>
        <v>587.74247372331615</v>
      </c>
      <c r="CE99" s="60">
        <f t="shared" si="94"/>
        <v>306.61893266146666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>
        <f>EXP(-LN(2)/35)*CK98+(1-EXP(-LN(2)/35))/(LN(2)/35)*CG99*CH99*VLOOKUP('Données projet'!$B$12,Paramètres!$A$1:$I$89,3,0)*0.475*44/12</f>
        <v>0</v>
      </c>
      <c r="CL99" s="23">
        <f>EXP(-LN(2)/25)*CL98+(1-EXP(-LN(2)/25))/(LN(2)/25)*Calculateur!CG99*Calculateur!CI99*VLOOKUP('Données projet'!$B$12,Paramètres!$A$1:$I$89,3,0)*0.475*44/12</f>
        <v>0</v>
      </c>
      <c r="CM99" s="23">
        <f>EXP(-LN(2)/2)*CM98+(1-EXP(-LN(2)/2))/(LN(2)/2)*CG99*CJ99*VLOOKUP('Données projet'!$B$12,Paramètres!$A$1:$I$89,3,0)*0.475*44/12</f>
        <v>0</v>
      </c>
      <c r="CN99" s="24">
        <f t="shared" si="66"/>
        <v>0</v>
      </c>
      <c r="CO99" s="77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5.9</v>
      </c>
      <c r="CT99" s="13">
        <f>IF('Données projet'!$A$140&gt;35,CT98+CS99-DB98,IF(A99&lt;'Données projet'!$A$140,$CQ$205^A99,IF(A99='Données projet'!$A$140,'Données projet'!$B$140,CT98+CS99-DB98)))</f>
        <v>337.40000000000009</v>
      </c>
      <c r="CU99" s="18">
        <f>CT99*VLOOKUP('Données projet'!$B$13,Paramètres!$A$1:$I$89,3,0)*VLOOKUP('Données projet'!$B$13,Paramètres!$A$1:$I$89,5,0)</f>
        <v>363.17736000000008</v>
      </c>
      <c r="CV99" s="14">
        <f t="shared" si="95"/>
        <v>84.270002672729191</v>
      </c>
      <c r="CW99" s="22">
        <f t="shared" si="67"/>
        <v>779.30415665500334</v>
      </c>
      <c r="CX99" s="60">
        <f t="shared" si="68"/>
        <v>1072.6374899883367</v>
      </c>
      <c r="CY99" s="60">
        <f ca="1">AVERAGE(OFFSET($CX$3,0,0,'Données projet'!$E$13+1,1))-AVERAGE(OFFSET($H$3,0,0,'Données projet'!$E$13+1,1))</f>
        <v>621.10465023992288</v>
      </c>
      <c r="CZ99" s="60">
        <f t="shared" si="96"/>
        <v>322.81767004794284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>
        <f>EXP(-LN(2)/35)*DF98+(1-EXP(-LN(2)/35))/(LN(2)/35)*DB99*DC99*VLOOKUP('Données projet'!$B$13,Paramètres!$A$1:$I$89,3,0)*0.475*44/12</f>
        <v>0</v>
      </c>
      <c r="DG99" s="23">
        <f>EXP(-LN(2)/25)*DG98+(1-EXP(-LN(2)/25))/(LN(2)/25)*Calculateur!DB99*Calculateur!DD99*VLOOKUP('Données projet'!$B$13,Paramètres!$A$1:$I$89,3,0)*0.475*44/12</f>
        <v>0</v>
      </c>
      <c r="DH99" s="23">
        <f>EXP(-LN(2)/2)*DH98+(1-EXP(-LN(2)/2))/(LN(2)/2)*DB99*DE99*VLOOKUP('Données projet'!$B$13,Paramètres!$A$1:$I$89,3,0)*0.475*44/12</f>
        <v>0</v>
      </c>
      <c r="DI99" s="24">
        <f t="shared" si="69"/>
        <v>0</v>
      </c>
      <c r="DJ99" s="77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5.9</v>
      </c>
      <c r="DO99" s="13">
        <f>IF('Données projet'!$A$166&gt;35,DO98+DN99-DW98,IF(A99&lt;'Données projet'!$A$166,$DL$205^A99,IF(A99='Données projet'!$A$166,'Données projet'!$B$166,DO98+DN99-DW98)))</f>
        <v>337.40000000000009</v>
      </c>
      <c r="DP99" s="18">
        <f>DO99*VLOOKUP('Données projet'!$B$14,Paramètres!$A$1:$I$89,3,0)*VLOOKUP('Données projet'!$B$14,Paramètres!$A$1:$I$89,5,0)</f>
        <v>326.33328000000006</v>
      </c>
      <c r="DQ99" s="14">
        <f t="shared" si="97"/>
        <v>76.669608914490098</v>
      </c>
      <c r="DR99" s="22">
        <f t="shared" si="70"/>
        <v>701.89669819273695</v>
      </c>
      <c r="DS99" s="60">
        <f t="shared" si="71"/>
        <v>995.23003152607021</v>
      </c>
      <c r="DT99" s="60">
        <f ca="1">AVERAGE(OFFSET($DS$3,0,0,'Données projet'!$E$14+1,1))-AVERAGE(OFFSET($H$3,0,0,'Données projet'!$E$14+1,1))</f>
        <v>562.69380557620775</v>
      </c>
      <c r="DU99" s="60">
        <f t="shared" si="98"/>
        <v>294.45557293177131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>
        <f>EXP(-LN(2)/35)*EA98+(1-EXP(-LN(2)/35))/(LN(2)/35)*DW99*DX99*VLOOKUP('Données projet'!$B$14,Paramètres!$A$1:$I$89,3,0)*0.475*44/12</f>
        <v>0</v>
      </c>
      <c r="EB99" s="23">
        <f>EXP(-LN(2)/25)*EB98+(1-EXP(-LN(2)/25))/(LN(2)/25)*Calculateur!DW99*Calculateur!DY99*VLOOKUP('Données projet'!$B$14,Paramètres!$A$1:$I$89,3,0)*0.475*44/12</f>
        <v>0</v>
      </c>
      <c r="EC99" s="23">
        <f>EXP(-LN(2)/2)*EC98+(1-EXP(-LN(2)/2))/(LN(2)/2)*DW99*DZ99*VLOOKUP('Données projet'!$B$14,Paramètres!$A$1:$I$89,3,0)*0.475*44/12</f>
        <v>0</v>
      </c>
      <c r="ED99" s="24">
        <f t="shared" si="72"/>
        <v>0</v>
      </c>
      <c r="EE99" s="77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1.1368683772161603E-13</v>
      </c>
      <c r="EK99" s="18">
        <f>EJ99*VLOOKUP('Données projet'!$B$15,Paramètres!$A$1:$I$89,3,0)*VLOOKUP('Données projet'!$B$15,Paramètres!$A$1:$I$89,5,0)</f>
        <v>8.8675733422860506E-14</v>
      </c>
      <c r="EL99" s="14">
        <f t="shared" si="99"/>
        <v>1.3509285393066301E-12</v>
      </c>
      <c r="EM99" s="22">
        <f t="shared" si="73"/>
        <v>2.5073107750038623E-12</v>
      </c>
      <c r="EN99" s="60">
        <f t="shared" si="74"/>
        <v>293.33333333333582</v>
      </c>
      <c r="EO99" s="60">
        <f ca="1">AVERAGE(OFFSET($EN$3,0,0,'Données projet'!$E$15+1,1))-AVERAGE(OFFSET($H$3,0,0,'Données projet'!$E$15+1,1))</f>
        <v>292.57482726862594</v>
      </c>
      <c r="EP99" s="60">
        <f t="shared" si="100"/>
        <v>283.48738729114024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>
        <f>EXP(-LN(2)/35)*EV98+(1-EXP(-LN(2)/35))/(LN(2)/35)*ER99*ES99*VLOOKUP('Données projet'!$B$15,Paramètres!$A$1:$I$89,3,0)*0.475*44/12</f>
        <v>0</v>
      </c>
      <c r="EW99" s="23">
        <f>EXP(-LN(2)/25)*EW98+(1-EXP(-LN(2)/25))/(LN(2)/25)*Calculateur!ER99*Calculateur!ET99*VLOOKUP('Données projet'!$B$15,Paramètres!$A$1:$I$89,3,0)*0.475*44/12</f>
        <v>0</v>
      </c>
      <c r="EX99" s="23">
        <f>EXP(-LN(2)/2)*EX98+(1-EXP(-LN(2)/2))/(LN(2)/2)*ER99*EU99*VLOOKUP('Données projet'!$B$15,Paramètres!$A$1:$I$89,3,0)*0.475*44/12</f>
        <v>0</v>
      </c>
      <c r="EY99" s="24">
        <f t="shared" si="75"/>
        <v>0</v>
      </c>
      <c r="EZ99" s="77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0" t="e">
        <f t="shared" si="77"/>
        <v>#N/A</v>
      </c>
      <c r="FJ99" s="60" t="e">
        <f ca="1">AVERAGE(OFFSET($FI$3,0,0,'Données projet'!$E$16+1,1))-AVERAGE(OFFSET($H$3,0,0,'Données projet'!$E$16+1,1))</f>
        <v>#N/A</v>
      </c>
      <c r="FK99" s="60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77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0" t="e">
        <f t="shared" si="80"/>
        <v>#N/A</v>
      </c>
      <c r="GE99" s="60" t="e">
        <f ca="1">AVERAGE(OFFSET($GD$3,0,0,'Données projet'!$E$17+1,1))-AVERAGE(OFFSET($H$3,0,0,'Données projet'!$E$17+1,1))</f>
        <v>#N/A</v>
      </c>
      <c r="GF99" s="60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77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0" t="e">
        <f t="shared" si="83"/>
        <v>#N/A</v>
      </c>
      <c r="GZ99" s="60" t="e">
        <f ca="1">AVERAGE(OFFSET($GY$3,0,0,'Données projet'!$E$18+1,1))-AVERAGE(OFFSET($H$3,0,0,'Données projet'!$E$18+1,1))</f>
        <v>#N/A</v>
      </c>
      <c r="HA99" s="60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25">
      <c r="A100" s="11">
        <f t="shared" si="85"/>
        <v>97</v>
      </c>
      <c r="B100" s="74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2">
        <f t="shared" si="86"/>
        <v>0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0</v>
      </c>
      <c r="H100" s="67">
        <f t="shared" si="56"/>
        <v>256.66666666666669</v>
      </c>
      <c r="I100" s="7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3.5897435897435854</v>
      </c>
      <c r="N100" s="14">
        <f>IF('Données projet'!$A$36&gt;35,N99+M100-V99,IF(A100&lt;'Données projet'!$A$36,$K$205^A100,IF(A100='Données projet'!$A$36,'Données projet'!$B$36,N99+M100-V99)))</f>
        <v>261.02564102564105</v>
      </c>
      <c r="O100" s="14">
        <f>N100*VLOOKUP('Données projet'!$B$9,Paramètres!$A$1:$I$89,3,0)*VLOOKUP('Données projet'!$B$9,Paramètres!$A$1:$I$89,5,0)</f>
        <v>248.39200000000002</v>
      </c>
      <c r="P100" s="14">
        <f t="shared" si="87"/>
        <v>60.241482647271688</v>
      </c>
      <c r="Q100" s="22">
        <f t="shared" si="107"/>
        <v>537.53664894399822</v>
      </c>
      <c r="R100" s="60">
        <f t="shared" si="55"/>
        <v>830.86998227733147</v>
      </c>
      <c r="S100" s="60">
        <f ca="1">AVERAGE(OFFSET($R$3,0,0,'Données projet'!$E$9+1,1))-AVERAGE(OFFSET($H$3,0,0,'Données projet'!$E$9+1,1))</f>
        <v>403.49781966317852</v>
      </c>
      <c r="T100" s="60">
        <f t="shared" si="88"/>
        <v>326.06674572505409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0</v>
      </c>
      <c r="AA100" s="23">
        <f>EXP(-LN(2)/25)*AA99+(1-EXP(-LN(2)/25))/(LN(2)/25)*Calculateur!V100*Calculateur!X100*VLOOKUP('Données projet'!$B$9,Paramètres!$A$1:$I$89,3,0)*0.475*44/12</f>
        <v>0</v>
      </c>
      <c r="AB100" s="23">
        <f>EXP(-LN(2)/2)*AB99+(1-EXP(-LN(2)/2))/(LN(2)/2)*V100*Y100*VLOOKUP('Données projet'!$B$9,Paramètres!$A$1:$I$89,3,0)*0.475*44/12</f>
        <v>0</v>
      </c>
      <c r="AC100" s="24">
        <f t="shared" si="57"/>
        <v>0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0</v>
      </c>
      <c r="AI100" s="14">
        <f>IF('Données projet'!$A$62&gt;35,AI99+AH100-AQ99,IF(A100&lt;'Données projet'!$A$62,$AF$205^A100,IF(A100='Données projet'!$A$62,'Données projet'!$B$62,AI99+AH100-AQ99)))</f>
        <v>-1.1368683772161603E-13</v>
      </c>
      <c r="AJ100" s="14">
        <f>AI100*VLOOKUP('Données projet'!$B$10,Paramètres!$A$1:$I$89,3,0)*VLOOKUP('Données projet'!$B$10,Paramètres!$A$1:$I$89,5,0)</f>
        <v>-9.9316821433603781E-14</v>
      </c>
      <c r="AK100" s="14" t="e">
        <f t="shared" si="89"/>
        <v>#NUM!</v>
      </c>
      <c r="AL100" s="22" t="e">
        <f t="shared" si="58"/>
        <v>#NUM!</v>
      </c>
      <c r="AM100" s="60" t="e">
        <f t="shared" si="59"/>
        <v>#NUM!</v>
      </c>
      <c r="AN100" s="60">
        <f ca="1">AVERAGE(OFFSET($AM$3,0,0,'Données projet'!$E$10+1,1))-AVERAGE(OFFSET($H$3,0,0,'Données projet'!$E$10+1,1))</f>
        <v>274.66236526869056</v>
      </c>
      <c r="AO100" s="60">
        <f t="shared" si="90"/>
        <v>256.90876395053073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>
        <f>EXP(-LN(2)/35)*AU99+(1-EXP(-LN(2)/35))/(LN(2)/35)*AQ100*AR100*VLOOKUP('Données projet'!$B$10,Paramètres!$A$1:$I$89,3,0)*0.475*44/12</f>
        <v>0</v>
      </c>
      <c r="AV100" s="23">
        <f>EXP(-LN(2)/25)*AV99+(1-EXP(-LN(2)/25))/(LN(2)/25)*Calculateur!AQ100*Calculateur!AS100*VLOOKUP('Données projet'!$B$10,Paramètres!$A$1:$I$89,3,0)*0.475*44/12</f>
        <v>0</v>
      </c>
      <c r="AW100" s="23">
        <f>EXP(-LN(2)/2)*AW99+(1-EXP(-LN(2)/2))/(LN(2)/2)*AQ100*AT100*VLOOKUP('Données projet'!$B$10,Paramètres!$A$1:$I$89,3,0)*0.475*44/12</f>
        <v>0</v>
      </c>
      <c r="AX100" s="23">
        <f t="shared" si="60"/>
        <v>0</v>
      </c>
      <c r="AY100" s="76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5.9</v>
      </c>
      <c r="BD100" s="13">
        <f>IF('Données projet'!$A$88&gt;35,BD99+BC100-BL99,IF(A100&lt;'Données projet'!$A$88,$BA$205^A100,IF(A100='Données projet'!$A$88,'Données projet'!$B$88,BD99+BC100-BL99)))</f>
        <v>343.30000000000007</v>
      </c>
      <c r="BE100" s="14">
        <f>BD100*VLOOKUP('Données projet'!$B$11,Paramètres!$A$1:$I$89,3,0)*VLOOKUP('Données projet'!$B$11,Paramètres!$A$1:$I$89,5,0)</f>
        <v>310.61784000000006</v>
      </c>
      <c r="BF100" s="14">
        <f t="shared" si="91"/>
        <v>73.397844798859666</v>
      </c>
      <c r="BG100" s="22">
        <f t="shared" si="61"/>
        <v>668.82731769134739</v>
      </c>
      <c r="BH100" s="60">
        <f t="shared" si="62"/>
        <v>962.16065102468065</v>
      </c>
      <c r="BI100" s="60">
        <f ca="1">AVERAGE(OFFSET($BH$3,0,0,'Données projet'!$E$11+1,1))-AVERAGE(OFFSET($H$3,0,0,'Données projet'!$E$11+1,1))</f>
        <v>529.25712986118265</v>
      </c>
      <c r="BJ100" s="60">
        <f t="shared" si="92"/>
        <v>278.21741231699929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>
        <f>EXP(-LN(2)/35)*BP99+(1-EXP(-LN(2)/35))/(LN(2)/35)*BL100*BM100*VLOOKUP('Données projet'!$B$11,Paramètres!$A$1:$I$89,3,0)*0.475*44/12</f>
        <v>0</v>
      </c>
      <c r="BQ100" s="23">
        <f>EXP(-LN(2)/25)*BQ99+(1-EXP(-LN(2)/25))/(LN(2)/25)*Calculateur!BL100*Calculateur!BN100*VLOOKUP('Données projet'!$B$11,Paramètres!$A$1:$I$89,3,0)*0.475*44/12</f>
        <v>0</v>
      </c>
      <c r="BR100" s="23">
        <f>EXP(-LN(2)/2)*BR99+(1-EXP(-LN(2)/2))/(LN(2)/2)*BL100*BO100*VLOOKUP('Données projet'!$B$11,Paramètres!$A$1:$I$89,3,0)*0.475*44/12</f>
        <v>0</v>
      </c>
      <c r="BS100" s="24">
        <f t="shared" si="63"/>
        <v>0</v>
      </c>
      <c r="BT100" s="77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5.9</v>
      </c>
      <c r="BY100" s="13">
        <f>IF('Données projet'!$A$114&gt;35,BY99+BX100-CG99,IF(A100&lt;'Données projet'!$A$114,$BV$205^A100,IF(A100='Données projet'!$A$114,'Données projet'!$B$114,BY99+BX100-CG99)))</f>
        <v>343.30000000000007</v>
      </c>
      <c r="BZ100" s="14">
        <f>BY100*VLOOKUP('Données projet'!$B$12,Paramètres!$A$1:$I$89,3,0)*VLOOKUP('Données projet'!$B$12,Paramètres!$A$1:$I$89,5,0)</f>
        <v>348.10620000000006</v>
      </c>
      <c r="CA100" s="14">
        <f t="shared" si="93"/>
        <v>81.172435101128784</v>
      </c>
      <c r="CB100" s="22">
        <f t="shared" si="64"/>
        <v>747.66028946779932</v>
      </c>
      <c r="CC100" s="60">
        <f t="shared" si="65"/>
        <v>1040.9936228011327</v>
      </c>
      <c r="CD100" s="60">
        <f ca="1">AVERAGE(OFFSET($CC$3,0,0,'Données projet'!$E$12+1,1))-AVERAGE(OFFSET($H$3,0,0,'Données projet'!$E$12+1,1))</f>
        <v>587.74247372331615</v>
      </c>
      <c r="CE100" s="60">
        <f t="shared" si="94"/>
        <v>306.61893266146666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>
        <f>EXP(-LN(2)/35)*CK99+(1-EXP(-LN(2)/35))/(LN(2)/35)*CG100*CH100*VLOOKUP('Données projet'!$B$12,Paramètres!$A$1:$I$89,3,0)*0.475*44/12</f>
        <v>0</v>
      </c>
      <c r="CL100" s="23">
        <f>EXP(-LN(2)/25)*CL99+(1-EXP(-LN(2)/25))/(LN(2)/25)*Calculateur!CG100*Calculateur!CI100*VLOOKUP('Données projet'!$B$12,Paramètres!$A$1:$I$89,3,0)*0.475*44/12</f>
        <v>0</v>
      </c>
      <c r="CM100" s="23">
        <f>EXP(-LN(2)/2)*CM99+(1-EXP(-LN(2)/2))/(LN(2)/2)*CG100*CJ100*VLOOKUP('Données projet'!$B$12,Paramètres!$A$1:$I$89,3,0)*0.475*44/12</f>
        <v>0</v>
      </c>
      <c r="CN100" s="24">
        <f t="shared" si="66"/>
        <v>0</v>
      </c>
      <c r="CO100" s="77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5.9</v>
      </c>
      <c r="CT100" s="13">
        <f>IF('Données projet'!$A$140&gt;35,CT99+CS100-DB99,IF(A100&lt;'Données projet'!$A$140,$CQ$205^A100,IF(A100='Données projet'!$A$140,'Données projet'!$B$140,CT99+CS100-DB99)))</f>
        <v>343.30000000000007</v>
      </c>
      <c r="CU100" s="18">
        <f>CT100*VLOOKUP('Données projet'!$B$13,Paramètres!$A$1:$I$89,3,0)*VLOOKUP('Données projet'!$B$13,Paramètres!$A$1:$I$89,5,0)</f>
        <v>369.52812000000006</v>
      </c>
      <c r="CV100" s="14">
        <f t="shared" si="95"/>
        <v>85.570760009536102</v>
      </c>
      <c r="CW100" s="22">
        <f t="shared" si="67"/>
        <v>792.63054934994216</v>
      </c>
      <c r="CX100" s="60">
        <f t="shared" si="68"/>
        <v>1085.9638826832754</v>
      </c>
      <c r="CY100" s="60">
        <f ca="1">AVERAGE(OFFSET($CX$3,0,0,'Données projet'!$E$13+1,1))-AVERAGE(OFFSET($H$3,0,0,'Données projet'!$E$13+1,1))</f>
        <v>621.10465023992288</v>
      </c>
      <c r="CZ100" s="60">
        <f t="shared" si="96"/>
        <v>322.81767004794284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>
        <f>EXP(-LN(2)/35)*DF99+(1-EXP(-LN(2)/35))/(LN(2)/35)*DB100*DC100*VLOOKUP('Données projet'!$B$13,Paramètres!$A$1:$I$89,3,0)*0.475*44/12</f>
        <v>0</v>
      </c>
      <c r="DG100" s="23">
        <f>EXP(-LN(2)/25)*DG99+(1-EXP(-LN(2)/25))/(LN(2)/25)*Calculateur!DB100*Calculateur!DD100*VLOOKUP('Données projet'!$B$13,Paramètres!$A$1:$I$89,3,0)*0.475*44/12</f>
        <v>0</v>
      </c>
      <c r="DH100" s="23">
        <f>EXP(-LN(2)/2)*DH99+(1-EXP(-LN(2)/2))/(LN(2)/2)*DB100*DE100*VLOOKUP('Données projet'!$B$13,Paramètres!$A$1:$I$89,3,0)*0.475*44/12</f>
        <v>0</v>
      </c>
      <c r="DI100" s="24">
        <f t="shared" si="69"/>
        <v>0</v>
      </c>
      <c r="DJ100" s="77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5.9</v>
      </c>
      <c r="DO100" s="13">
        <f>IF('Données projet'!$A$166&gt;35,DO99+DN100-DW99,IF(A100&lt;'Données projet'!$A$166,$DL$205^A100,IF(A100='Données projet'!$A$166,'Données projet'!$B$166,DO99+DN100-DW99)))</f>
        <v>343.30000000000007</v>
      </c>
      <c r="DP100" s="18">
        <f>DO100*VLOOKUP('Données projet'!$B$14,Paramètres!$A$1:$I$89,3,0)*VLOOKUP('Données projet'!$B$14,Paramètres!$A$1:$I$89,5,0)</f>
        <v>332.03976000000006</v>
      </c>
      <c r="DQ100" s="14">
        <f t="shared" si="97"/>
        <v>77.853049678019573</v>
      </c>
      <c r="DR100" s="22">
        <f t="shared" si="70"/>
        <v>713.89664352255079</v>
      </c>
      <c r="DS100" s="60">
        <f t="shared" si="71"/>
        <v>1007.2299768558842</v>
      </c>
      <c r="DT100" s="60">
        <f ca="1">AVERAGE(OFFSET($DS$3,0,0,'Données projet'!$E$14+1,1))-AVERAGE(OFFSET($H$3,0,0,'Données projet'!$E$14+1,1))</f>
        <v>562.69380557620775</v>
      </c>
      <c r="DU100" s="60">
        <f t="shared" si="98"/>
        <v>294.45557293177131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>
        <f>EXP(-LN(2)/35)*EA99+(1-EXP(-LN(2)/35))/(LN(2)/35)*DW100*DX100*VLOOKUP('Données projet'!$B$14,Paramètres!$A$1:$I$89,3,0)*0.475*44/12</f>
        <v>0</v>
      </c>
      <c r="EB100" s="23">
        <f>EXP(-LN(2)/25)*EB99+(1-EXP(-LN(2)/25))/(LN(2)/25)*Calculateur!DW100*Calculateur!DY100*VLOOKUP('Données projet'!$B$14,Paramètres!$A$1:$I$89,3,0)*0.475*44/12</f>
        <v>0</v>
      </c>
      <c r="EC100" s="23">
        <f>EXP(-LN(2)/2)*EC99+(1-EXP(-LN(2)/2))/(LN(2)/2)*DW100*DZ100*VLOOKUP('Données projet'!$B$14,Paramètres!$A$1:$I$89,3,0)*0.475*44/12</f>
        <v>0</v>
      </c>
      <c r="ED100" s="24">
        <f t="shared" si="72"/>
        <v>0</v>
      </c>
      <c r="EE100" s="77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1.1368683772161603E-13</v>
      </c>
      <c r="EK100" s="18">
        <f>EJ100*VLOOKUP('Données projet'!$B$15,Paramètres!$A$1:$I$89,3,0)*VLOOKUP('Données projet'!$B$15,Paramètres!$A$1:$I$89,5,0)</f>
        <v>8.8675733422860506E-14</v>
      </c>
      <c r="EL100" s="14">
        <f t="shared" si="99"/>
        <v>1.3509285393066301E-12</v>
      </c>
      <c r="EM100" s="22">
        <f t="shared" si="73"/>
        <v>2.5073107750038623E-12</v>
      </c>
      <c r="EN100" s="60">
        <f t="shared" si="74"/>
        <v>293.33333333333582</v>
      </c>
      <c r="EO100" s="60">
        <f ca="1">AVERAGE(OFFSET($EN$3,0,0,'Données projet'!$E$15+1,1))-AVERAGE(OFFSET($H$3,0,0,'Données projet'!$E$15+1,1))</f>
        <v>292.57482726862594</v>
      </c>
      <c r="EP100" s="60">
        <f t="shared" si="100"/>
        <v>283.48738729114024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>
        <f>EXP(-LN(2)/35)*EV99+(1-EXP(-LN(2)/35))/(LN(2)/35)*ER100*ES100*VLOOKUP('Données projet'!$B$15,Paramètres!$A$1:$I$89,3,0)*0.475*44/12</f>
        <v>0</v>
      </c>
      <c r="EW100" s="23">
        <f>EXP(-LN(2)/25)*EW99+(1-EXP(-LN(2)/25))/(LN(2)/25)*Calculateur!ER100*Calculateur!ET100*VLOOKUP('Données projet'!$B$15,Paramètres!$A$1:$I$89,3,0)*0.475*44/12</f>
        <v>0</v>
      </c>
      <c r="EX100" s="23">
        <f>EXP(-LN(2)/2)*EX99+(1-EXP(-LN(2)/2))/(LN(2)/2)*ER100*EU100*VLOOKUP('Données projet'!$B$15,Paramètres!$A$1:$I$89,3,0)*0.475*44/12</f>
        <v>0</v>
      </c>
      <c r="EY100" s="24">
        <f t="shared" si="75"/>
        <v>0</v>
      </c>
      <c r="EZ100" s="77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0" t="e">
        <f t="shared" si="77"/>
        <v>#N/A</v>
      </c>
      <c r="FJ100" s="60" t="e">
        <f ca="1">AVERAGE(OFFSET($FI$3,0,0,'Données projet'!$E$16+1,1))-AVERAGE(OFFSET($H$3,0,0,'Données projet'!$E$16+1,1))</f>
        <v>#N/A</v>
      </c>
      <c r="FK100" s="60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77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0" t="e">
        <f t="shared" si="80"/>
        <v>#N/A</v>
      </c>
      <c r="GE100" s="60" t="e">
        <f ca="1">AVERAGE(OFFSET($GD$3,0,0,'Données projet'!$E$17+1,1))-AVERAGE(OFFSET($H$3,0,0,'Données projet'!$E$17+1,1))</f>
        <v>#N/A</v>
      </c>
      <c r="GF100" s="60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77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0" t="e">
        <f t="shared" si="83"/>
        <v>#N/A</v>
      </c>
      <c r="GZ100" s="60" t="e">
        <f ca="1">AVERAGE(OFFSET($GY$3,0,0,'Données projet'!$E$18+1,1))-AVERAGE(OFFSET($H$3,0,0,'Données projet'!$E$18+1,1))</f>
        <v>#N/A</v>
      </c>
      <c r="HA100" s="60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25">
      <c r="A101" s="11">
        <f t="shared" si="85"/>
        <v>98</v>
      </c>
      <c r="B101" s="74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2">
        <f t="shared" si="86"/>
        <v>0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0</v>
      </c>
      <c r="H101" s="67">
        <f t="shared" si="56"/>
        <v>256.66666666666669</v>
      </c>
      <c r="I101" s="7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3.5897435897435854</v>
      </c>
      <c r="N101" s="14">
        <f>IF('Données projet'!$A$36&gt;35,N100+M101-V100,IF(A101&lt;'Données projet'!$A$36,$K$205^A101,IF(A101='Données projet'!$A$36,'Données projet'!$B$36,N100+M101-V100)))</f>
        <v>264.61538461538464</v>
      </c>
      <c r="O101" s="14">
        <f>N101*VLOOKUP('Données projet'!$B$9,Paramètres!$A$1:$I$89,3,0)*VLOOKUP('Données projet'!$B$9,Paramètres!$A$1:$I$89,5,0)</f>
        <v>251.80800000000002</v>
      </c>
      <c r="P101" s="14">
        <f t="shared" si="87"/>
        <v>60.972934322766903</v>
      </c>
      <c r="Q101" s="22">
        <f t="shared" si="107"/>
        <v>544.76012727881914</v>
      </c>
      <c r="R101" s="60">
        <f t="shared" si="55"/>
        <v>838.09346061215251</v>
      </c>
      <c r="S101" s="60">
        <f ca="1">AVERAGE(OFFSET($R$3,0,0,'Données projet'!$E$9+1,1))-AVERAGE(OFFSET($H$3,0,0,'Données projet'!$E$9+1,1))</f>
        <v>403.49781966317852</v>
      </c>
      <c r="T101" s="60">
        <f t="shared" si="88"/>
        <v>326.06674572505409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0</v>
      </c>
      <c r="AA101" s="23">
        <f>EXP(-LN(2)/25)*AA100+(1-EXP(-LN(2)/25))/(LN(2)/25)*Calculateur!V101*Calculateur!X101*VLOOKUP('Données projet'!$B$9,Paramètres!$A$1:$I$89,3,0)*0.475*44/12</f>
        <v>0</v>
      </c>
      <c r="AB101" s="23">
        <f>EXP(-LN(2)/2)*AB100+(1-EXP(-LN(2)/2))/(LN(2)/2)*V101*Y101*VLOOKUP('Données projet'!$B$9,Paramètres!$A$1:$I$89,3,0)*0.475*44/12</f>
        <v>0</v>
      </c>
      <c r="AC101" s="24">
        <f t="shared" si="57"/>
        <v>0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0</v>
      </c>
      <c r="AI101" s="14">
        <f>IF('Données projet'!$A$62&gt;35,AI100+AH101-AQ100,IF(A101&lt;'Données projet'!$A$62,$AF$205^A101,IF(A101='Données projet'!$A$62,'Données projet'!$B$62,AI100+AH101-AQ100)))</f>
        <v>-1.1368683772161603E-13</v>
      </c>
      <c r="AJ101" s="14">
        <f>AI101*VLOOKUP('Données projet'!$B$10,Paramètres!$A$1:$I$89,3,0)*VLOOKUP('Données projet'!$B$10,Paramètres!$A$1:$I$89,5,0)</f>
        <v>-9.9316821433603781E-14</v>
      </c>
      <c r="AK101" s="14" t="e">
        <f t="shared" si="89"/>
        <v>#NUM!</v>
      </c>
      <c r="AL101" s="22" t="e">
        <f t="shared" si="58"/>
        <v>#NUM!</v>
      </c>
      <c r="AM101" s="60" t="e">
        <f t="shared" si="59"/>
        <v>#NUM!</v>
      </c>
      <c r="AN101" s="60">
        <f ca="1">AVERAGE(OFFSET($AM$3,0,0,'Données projet'!$E$10+1,1))-AVERAGE(OFFSET($H$3,0,0,'Données projet'!$E$10+1,1))</f>
        <v>274.66236526869056</v>
      </c>
      <c r="AO101" s="60">
        <f t="shared" si="90"/>
        <v>256.90876395053073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>
        <f>EXP(-LN(2)/35)*AU100+(1-EXP(-LN(2)/35))/(LN(2)/35)*AQ101*AR101*VLOOKUP('Données projet'!$B$10,Paramètres!$A$1:$I$89,3,0)*0.475*44/12</f>
        <v>0</v>
      </c>
      <c r="AV101" s="23">
        <f>EXP(-LN(2)/25)*AV100+(1-EXP(-LN(2)/25))/(LN(2)/25)*Calculateur!AQ101*Calculateur!AS101*VLOOKUP('Données projet'!$B$10,Paramètres!$A$1:$I$89,3,0)*0.475*44/12</f>
        <v>0</v>
      </c>
      <c r="AW101" s="23">
        <f>EXP(-LN(2)/2)*AW100+(1-EXP(-LN(2)/2))/(LN(2)/2)*AQ101*AT101*VLOOKUP('Données projet'!$B$10,Paramètres!$A$1:$I$89,3,0)*0.475*44/12</f>
        <v>0</v>
      </c>
      <c r="AX101" s="23">
        <f t="shared" si="60"/>
        <v>0</v>
      </c>
      <c r="AY101" s="76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5.9</v>
      </c>
      <c r="BD101" s="13">
        <f>IF('Données projet'!$A$88&gt;35,BD100+BC101-BL100,IF(A101&lt;'Données projet'!$A$88,$BA$205^A101,IF(A101='Données projet'!$A$88,'Données projet'!$B$88,BD100+BC101-BL100)))</f>
        <v>349.20000000000005</v>
      </c>
      <c r="BE101" s="14">
        <f>BD101*VLOOKUP('Données projet'!$B$11,Paramètres!$A$1:$I$89,3,0)*VLOOKUP('Données projet'!$B$11,Paramètres!$A$1:$I$89,5,0)</f>
        <v>315.95616000000001</v>
      </c>
      <c r="BF101" s="14">
        <f t="shared" si="91"/>
        <v>74.511332350301046</v>
      </c>
      <c r="BG101" s="22">
        <f t="shared" si="61"/>
        <v>680.06421584344105</v>
      </c>
      <c r="BH101" s="60">
        <f t="shared" si="62"/>
        <v>973.39754917677442</v>
      </c>
      <c r="BI101" s="60">
        <f ca="1">AVERAGE(OFFSET($BH$3,0,0,'Données projet'!$E$11+1,1))-AVERAGE(OFFSET($H$3,0,0,'Données projet'!$E$11+1,1))</f>
        <v>529.25712986118265</v>
      </c>
      <c r="BJ101" s="60">
        <f t="shared" si="92"/>
        <v>278.21741231699929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>
        <f>EXP(-LN(2)/35)*BP100+(1-EXP(-LN(2)/35))/(LN(2)/35)*BL101*BM101*VLOOKUP('Données projet'!$B$11,Paramètres!$A$1:$I$89,3,0)*0.475*44/12</f>
        <v>0</v>
      </c>
      <c r="BQ101" s="23">
        <f>EXP(-LN(2)/25)*BQ100+(1-EXP(-LN(2)/25))/(LN(2)/25)*Calculateur!BL101*Calculateur!BN101*VLOOKUP('Données projet'!$B$11,Paramètres!$A$1:$I$89,3,0)*0.475*44/12</f>
        <v>0</v>
      </c>
      <c r="BR101" s="23">
        <f>EXP(-LN(2)/2)*BR100+(1-EXP(-LN(2)/2))/(LN(2)/2)*BL101*BO101*VLOOKUP('Données projet'!$B$11,Paramètres!$A$1:$I$89,3,0)*0.475*44/12</f>
        <v>0</v>
      </c>
      <c r="BS101" s="24">
        <f t="shared" si="63"/>
        <v>0</v>
      </c>
      <c r="BT101" s="77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5.9</v>
      </c>
      <c r="BY101" s="13">
        <f>IF('Données projet'!$A$114&gt;35,BY100+BX101-CG100,IF(A101&lt;'Données projet'!$A$114,$BV$205^A101,IF(A101='Données projet'!$A$114,'Données projet'!$B$114,BY100+BX101-CG100)))</f>
        <v>349.20000000000005</v>
      </c>
      <c r="BZ101" s="14">
        <f>BY101*VLOOKUP('Données projet'!$B$12,Paramètres!$A$1:$I$89,3,0)*VLOOKUP('Données projet'!$B$12,Paramètres!$A$1:$I$89,5,0)</f>
        <v>354.08880000000011</v>
      </c>
      <c r="CA101" s="14">
        <f t="shared" si="93"/>
        <v>82.403867662302417</v>
      </c>
      <c r="CB101" s="22">
        <f t="shared" si="64"/>
        <v>760.22472951184352</v>
      </c>
      <c r="CC101" s="60">
        <f t="shared" si="65"/>
        <v>1053.5580628451769</v>
      </c>
      <c r="CD101" s="60">
        <f ca="1">AVERAGE(OFFSET($CC$3,0,0,'Données projet'!$E$12+1,1))-AVERAGE(OFFSET($H$3,0,0,'Données projet'!$E$12+1,1))</f>
        <v>587.74247372331615</v>
      </c>
      <c r="CE101" s="60">
        <f t="shared" si="94"/>
        <v>306.61893266146666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>
        <f>EXP(-LN(2)/35)*CK100+(1-EXP(-LN(2)/35))/(LN(2)/35)*CG101*CH101*VLOOKUP('Données projet'!$B$12,Paramètres!$A$1:$I$89,3,0)*0.475*44/12</f>
        <v>0</v>
      </c>
      <c r="CL101" s="23">
        <f>EXP(-LN(2)/25)*CL100+(1-EXP(-LN(2)/25))/(LN(2)/25)*Calculateur!CG101*Calculateur!CI101*VLOOKUP('Données projet'!$B$12,Paramètres!$A$1:$I$89,3,0)*0.475*44/12</f>
        <v>0</v>
      </c>
      <c r="CM101" s="23">
        <f>EXP(-LN(2)/2)*CM100+(1-EXP(-LN(2)/2))/(LN(2)/2)*CG101*CJ101*VLOOKUP('Données projet'!$B$12,Paramètres!$A$1:$I$89,3,0)*0.475*44/12</f>
        <v>0</v>
      </c>
      <c r="CN101" s="24">
        <f t="shared" si="66"/>
        <v>0</v>
      </c>
      <c r="CO101" s="77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5.9</v>
      </c>
      <c r="CT101" s="13">
        <f>IF('Données projet'!$A$140&gt;35,CT100+CS101-DB100,IF(A101&lt;'Données projet'!$A$140,$CQ$205^A101,IF(A101='Données projet'!$A$140,'Données projet'!$B$140,CT100+CS101-DB100)))</f>
        <v>349.20000000000005</v>
      </c>
      <c r="CU101" s="18">
        <f>CT101*VLOOKUP('Données projet'!$B$13,Paramètres!$A$1:$I$89,3,0)*VLOOKUP('Données projet'!$B$13,Paramètres!$A$1:$I$89,5,0)</f>
        <v>375.87888000000004</v>
      </c>
      <c r="CV101" s="14">
        <f t="shared" si="95"/>
        <v>86.868917691128829</v>
      </c>
      <c r="CW101" s="22">
        <f t="shared" si="67"/>
        <v>805.95241431204943</v>
      </c>
      <c r="CX101" s="60">
        <f t="shared" si="68"/>
        <v>1099.2857476453828</v>
      </c>
      <c r="CY101" s="60">
        <f ca="1">AVERAGE(OFFSET($CX$3,0,0,'Données projet'!$E$13+1,1))-AVERAGE(OFFSET($H$3,0,0,'Données projet'!$E$13+1,1))</f>
        <v>621.10465023992288</v>
      </c>
      <c r="CZ101" s="60">
        <f t="shared" si="96"/>
        <v>322.81767004794284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>
        <f>EXP(-LN(2)/35)*DF100+(1-EXP(-LN(2)/35))/(LN(2)/35)*DB101*DC101*VLOOKUP('Données projet'!$B$13,Paramètres!$A$1:$I$89,3,0)*0.475*44/12</f>
        <v>0</v>
      </c>
      <c r="DG101" s="23">
        <f>EXP(-LN(2)/25)*DG100+(1-EXP(-LN(2)/25))/(LN(2)/25)*Calculateur!DB101*Calculateur!DD101*VLOOKUP('Données projet'!$B$13,Paramètres!$A$1:$I$89,3,0)*0.475*44/12</f>
        <v>0</v>
      </c>
      <c r="DH101" s="23">
        <f>EXP(-LN(2)/2)*DH100+(1-EXP(-LN(2)/2))/(LN(2)/2)*DB101*DE101*VLOOKUP('Données projet'!$B$13,Paramètres!$A$1:$I$89,3,0)*0.475*44/12</f>
        <v>0</v>
      </c>
      <c r="DI101" s="24">
        <f t="shared" si="69"/>
        <v>0</v>
      </c>
      <c r="DJ101" s="77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5.9</v>
      </c>
      <c r="DO101" s="13">
        <f>IF('Données projet'!$A$166&gt;35,DO100+DN101-DW100,IF(A101&lt;'Données projet'!$A$166,$DL$205^A101,IF(A101='Données projet'!$A$166,'Données projet'!$B$166,DO100+DN101-DW100)))</f>
        <v>349.20000000000005</v>
      </c>
      <c r="DP101" s="18">
        <f>DO101*VLOOKUP('Données projet'!$B$14,Paramètres!$A$1:$I$89,3,0)*VLOOKUP('Données projet'!$B$14,Paramètres!$A$1:$I$89,5,0)</f>
        <v>337.74624000000006</v>
      </c>
      <c r="DQ101" s="14">
        <f t="shared" si="97"/>
        <v>79.034125251774896</v>
      </c>
      <c r="DR101" s="22">
        <f t="shared" si="70"/>
        <v>725.89246948017455</v>
      </c>
      <c r="DS101" s="60">
        <f t="shared" si="71"/>
        <v>1019.2258028135079</v>
      </c>
      <c r="DT101" s="60">
        <f ca="1">AVERAGE(OFFSET($DS$3,0,0,'Données projet'!$E$14+1,1))-AVERAGE(OFFSET($H$3,0,0,'Données projet'!$E$14+1,1))</f>
        <v>562.69380557620775</v>
      </c>
      <c r="DU101" s="60">
        <f t="shared" si="98"/>
        <v>294.45557293177131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>
        <f>EXP(-LN(2)/35)*EA100+(1-EXP(-LN(2)/35))/(LN(2)/35)*DW101*DX101*VLOOKUP('Données projet'!$B$14,Paramètres!$A$1:$I$89,3,0)*0.475*44/12</f>
        <v>0</v>
      </c>
      <c r="EB101" s="23">
        <f>EXP(-LN(2)/25)*EB100+(1-EXP(-LN(2)/25))/(LN(2)/25)*Calculateur!DW101*Calculateur!DY101*VLOOKUP('Données projet'!$B$14,Paramètres!$A$1:$I$89,3,0)*0.475*44/12</f>
        <v>0</v>
      </c>
      <c r="EC101" s="23">
        <f>EXP(-LN(2)/2)*EC100+(1-EXP(-LN(2)/2))/(LN(2)/2)*DW101*DZ101*VLOOKUP('Données projet'!$B$14,Paramètres!$A$1:$I$89,3,0)*0.475*44/12</f>
        <v>0</v>
      </c>
      <c r="ED101" s="24">
        <f t="shared" si="72"/>
        <v>0</v>
      </c>
      <c r="EE101" s="77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1.1368683772161603E-13</v>
      </c>
      <c r="EK101" s="18">
        <f>EJ101*VLOOKUP('Données projet'!$B$15,Paramètres!$A$1:$I$89,3,0)*VLOOKUP('Données projet'!$B$15,Paramètres!$A$1:$I$89,5,0)</f>
        <v>8.8675733422860506E-14</v>
      </c>
      <c r="EL101" s="14">
        <f t="shared" si="99"/>
        <v>1.3509285393066301E-12</v>
      </c>
      <c r="EM101" s="22">
        <f t="shared" si="73"/>
        <v>2.5073107750038623E-12</v>
      </c>
      <c r="EN101" s="60">
        <f t="shared" si="74"/>
        <v>293.33333333333582</v>
      </c>
      <c r="EO101" s="60">
        <f ca="1">AVERAGE(OFFSET($EN$3,0,0,'Données projet'!$E$15+1,1))-AVERAGE(OFFSET($H$3,0,0,'Données projet'!$E$15+1,1))</f>
        <v>292.57482726862594</v>
      </c>
      <c r="EP101" s="60">
        <f t="shared" si="100"/>
        <v>283.48738729114024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>
        <f>EXP(-LN(2)/35)*EV100+(1-EXP(-LN(2)/35))/(LN(2)/35)*ER101*ES101*VLOOKUP('Données projet'!$B$15,Paramètres!$A$1:$I$89,3,0)*0.475*44/12</f>
        <v>0</v>
      </c>
      <c r="EW101" s="23">
        <f>EXP(-LN(2)/25)*EW100+(1-EXP(-LN(2)/25))/(LN(2)/25)*Calculateur!ER101*Calculateur!ET101*VLOOKUP('Données projet'!$B$15,Paramètres!$A$1:$I$89,3,0)*0.475*44/12</f>
        <v>0</v>
      </c>
      <c r="EX101" s="23">
        <f>EXP(-LN(2)/2)*EX100+(1-EXP(-LN(2)/2))/(LN(2)/2)*ER101*EU101*VLOOKUP('Données projet'!$B$15,Paramètres!$A$1:$I$89,3,0)*0.475*44/12</f>
        <v>0</v>
      </c>
      <c r="EY101" s="24">
        <f t="shared" si="75"/>
        <v>0</v>
      </c>
      <c r="EZ101" s="77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0" t="e">
        <f t="shared" si="77"/>
        <v>#N/A</v>
      </c>
      <c r="FJ101" s="60" t="e">
        <f ca="1">AVERAGE(OFFSET($FI$3,0,0,'Données projet'!$E$16+1,1))-AVERAGE(OFFSET($H$3,0,0,'Données projet'!$E$16+1,1))</f>
        <v>#N/A</v>
      </c>
      <c r="FK101" s="60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77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0" t="e">
        <f t="shared" si="80"/>
        <v>#N/A</v>
      </c>
      <c r="GE101" s="60" t="e">
        <f ca="1">AVERAGE(OFFSET($GD$3,0,0,'Données projet'!$E$17+1,1))-AVERAGE(OFFSET($H$3,0,0,'Données projet'!$E$17+1,1))</f>
        <v>#N/A</v>
      </c>
      <c r="GF101" s="60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77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0" t="e">
        <f t="shared" si="83"/>
        <v>#N/A</v>
      </c>
      <c r="GZ101" s="60" t="e">
        <f ca="1">AVERAGE(OFFSET($GY$3,0,0,'Données projet'!$E$18+1,1))-AVERAGE(OFFSET($H$3,0,0,'Données projet'!$E$18+1,1))</f>
        <v>#N/A</v>
      </c>
      <c r="HA101" s="60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25">
      <c r="A102" s="11">
        <f t="shared" si="85"/>
        <v>99</v>
      </c>
      <c r="B102" s="74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2">
        <f t="shared" si="86"/>
        <v>0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0</v>
      </c>
      <c r="H102" s="67">
        <f t="shared" si="56"/>
        <v>256.66666666666669</v>
      </c>
      <c r="I102" s="7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3.5897435897435854</v>
      </c>
      <c r="N102" s="14">
        <f>IF('Données projet'!$A$36&gt;35,N101+M102-V101,IF(A102&lt;'Données projet'!$A$36,$K$205^A102,IF(A102='Données projet'!$A$36,'Données projet'!$B$36,N101+M102-V101)))</f>
        <v>268.20512820512823</v>
      </c>
      <c r="O102" s="14">
        <f>N102*VLOOKUP('Données projet'!$B$9,Paramètres!$A$1:$I$89,3,0)*VLOOKUP('Données projet'!$B$9,Paramètres!$A$1:$I$89,5,0)</f>
        <v>255.22400000000002</v>
      </c>
      <c r="P102" s="14">
        <f t="shared" si="87"/>
        <v>61.703231859046099</v>
      </c>
      <c r="Q102" s="22">
        <f t="shared" si="107"/>
        <v>551.98159548783872</v>
      </c>
      <c r="R102" s="60">
        <f t="shared" si="55"/>
        <v>845.31492882117209</v>
      </c>
      <c r="S102" s="60">
        <f ca="1">AVERAGE(OFFSET($R$3,0,0,'Données projet'!$E$9+1,1))-AVERAGE(OFFSET($H$3,0,0,'Données projet'!$E$9+1,1))</f>
        <v>403.49781966317852</v>
      </c>
      <c r="T102" s="60">
        <f t="shared" si="88"/>
        <v>326.06674572505409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0</v>
      </c>
      <c r="AA102" s="23">
        <f>EXP(-LN(2)/25)*AA101+(1-EXP(-LN(2)/25))/(LN(2)/25)*Calculateur!V102*Calculateur!X102*VLOOKUP('Données projet'!$B$9,Paramètres!$A$1:$I$89,3,0)*0.475*44/12</f>
        <v>0</v>
      </c>
      <c r="AB102" s="23">
        <f>EXP(-LN(2)/2)*AB101+(1-EXP(-LN(2)/2))/(LN(2)/2)*V102*Y102*VLOOKUP('Données projet'!$B$9,Paramètres!$A$1:$I$89,3,0)*0.475*44/12</f>
        <v>0</v>
      </c>
      <c r="AC102" s="24">
        <f t="shared" si="57"/>
        <v>0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0</v>
      </c>
      <c r="AI102" s="14">
        <f>IF('Données projet'!$A$62&gt;35,AI101+AH102-AQ101,IF(A102&lt;'Données projet'!$A$62,$AF$205^A102,IF(A102='Données projet'!$A$62,'Données projet'!$B$62,AI101+AH102-AQ101)))</f>
        <v>-1.1368683772161603E-13</v>
      </c>
      <c r="AJ102" s="14">
        <f>AI102*VLOOKUP('Données projet'!$B$10,Paramètres!$A$1:$I$89,3,0)*VLOOKUP('Données projet'!$B$10,Paramètres!$A$1:$I$89,5,0)</f>
        <v>-9.9316821433603781E-14</v>
      </c>
      <c r="AK102" s="14" t="e">
        <f t="shared" si="89"/>
        <v>#NUM!</v>
      </c>
      <c r="AL102" s="22" t="e">
        <f t="shared" si="58"/>
        <v>#NUM!</v>
      </c>
      <c r="AM102" s="60" t="e">
        <f t="shared" si="59"/>
        <v>#NUM!</v>
      </c>
      <c r="AN102" s="60">
        <f ca="1">AVERAGE(OFFSET($AM$3,0,0,'Données projet'!$E$10+1,1))-AVERAGE(OFFSET($H$3,0,0,'Données projet'!$E$10+1,1))</f>
        <v>274.66236526869056</v>
      </c>
      <c r="AO102" s="60">
        <f t="shared" si="90"/>
        <v>256.90876395053073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>
        <f>EXP(-LN(2)/35)*AU101+(1-EXP(-LN(2)/35))/(LN(2)/35)*AQ102*AR102*VLOOKUP('Données projet'!$B$10,Paramètres!$A$1:$I$89,3,0)*0.475*44/12</f>
        <v>0</v>
      </c>
      <c r="AV102" s="23">
        <f>EXP(-LN(2)/25)*AV101+(1-EXP(-LN(2)/25))/(LN(2)/25)*Calculateur!AQ102*Calculateur!AS102*VLOOKUP('Données projet'!$B$10,Paramètres!$A$1:$I$89,3,0)*0.475*44/12</f>
        <v>0</v>
      </c>
      <c r="AW102" s="23">
        <f>EXP(-LN(2)/2)*AW101+(1-EXP(-LN(2)/2))/(LN(2)/2)*AQ102*AT102*VLOOKUP('Données projet'!$B$10,Paramètres!$A$1:$I$89,3,0)*0.475*44/12</f>
        <v>0</v>
      </c>
      <c r="AX102" s="23">
        <f t="shared" si="60"/>
        <v>0</v>
      </c>
      <c r="AY102" s="76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5.9</v>
      </c>
      <c r="BD102" s="13">
        <f>IF('Données projet'!$A$88&gt;35,BD101+BC102-BL101,IF(A102&lt;'Données projet'!$A$88,$BA$205^A102,IF(A102='Données projet'!$A$88,'Données projet'!$B$88,BD101+BC102-BL101)))</f>
        <v>355.1</v>
      </c>
      <c r="BE102" s="14">
        <f>BD102*VLOOKUP('Données projet'!$B$11,Paramètres!$A$1:$I$89,3,0)*VLOOKUP('Données projet'!$B$11,Paramètres!$A$1:$I$89,5,0)</f>
        <v>321.29448000000002</v>
      </c>
      <c r="BF102" s="14">
        <f t="shared" si="91"/>
        <v>75.622632084792471</v>
      </c>
      <c r="BG102" s="22">
        <f t="shared" si="61"/>
        <v>691.29730354768026</v>
      </c>
      <c r="BH102" s="60">
        <f t="shared" si="62"/>
        <v>984.63063688101352</v>
      </c>
      <c r="BI102" s="60">
        <f ca="1">AVERAGE(OFFSET($BH$3,0,0,'Données projet'!$E$11+1,1))-AVERAGE(OFFSET($H$3,0,0,'Données projet'!$E$11+1,1))</f>
        <v>529.25712986118265</v>
      </c>
      <c r="BJ102" s="60">
        <f t="shared" si="92"/>
        <v>278.21741231699929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>
        <f>EXP(-LN(2)/35)*BP101+(1-EXP(-LN(2)/35))/(LN(2)/35)*BL102*BM102*VLOOKUP('Données projet'!$B$11,Paramètres!$A$1:$I$89,3,0)*0.475*44/12</f>
        <v>0</v>
      </c>
      <c r="BQ102" s="23">
        <f>EXP(-LN(2)/25)*BQ101+(1-EXP(-LN(2)/25))/(LN(2)/25)*Calculateur!BL102*Calculateur!BN102*VLOOKUP('Données projet'!$B$11,Paramètres!$A$1:$I$89,3,0)*0.475*44/12</f>
        <v>0</v>
      </c>
      <c r="BR102" s="23">
        <f>EXP(-LN(2)/2)*BR101+(1-EXP(-LN(2)/2))/(LN(2)/2)*BL102*BO102*VLOOKUP('Données projet'!$B$11,Paramètres!$A$1:$I$89,3,0)*0.475*44/12</f>
        <v>0</v>
      </c>
      <c r="BS102" s="24">
        <f t="shared" si="63"/>
        <v>0</v>
      </c>
      <c r="BT102" s="77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5.9</v>
      </c>
      <c r="BY102" s="13">
        <f>IF('Données projet'!$A$114&gt;35,BY101+BX102-CG101,IF(A102&lt;'Données projet'!$A$114,$BV$205^A102,IF(A102='Données projet'!$A$114,'Données projet'!$B$114,BY101+BX102-CG101)))</f>
        <v>355.1</v>
      </c>
      <c r="BZ102" s="14">
        <f>BY102*VLOOKUP('Données projet'!$B$12,Paramètres!$A$1:$I$89,3,0)*VLOOKUP('Données projet'!$B$12,Paramètres!$A$1:$I$89,5,0)</f>
        <v>360.07140000000004</v>
      </c>
      <c r="CA102" s="14">
        <f t="shared" si="93"/>
        <v>83.632880664293282</v>
      </c>
      <c r="CB102" s="22">
        <f t="shared" si="64"/>
        <v>772.78495549031084</v>
      </c>
      <c r="CC102" s="60">
        <f t="shared" si="65"/>
        <v>1066.1182888236442</v>
      </c>
      <c r="CD102" s="60">
        <f ca="1">AVERAGE(OFFSET($CC$3,0,0,'Données projet'!$E$12+1,1))-AVERAGE(OFFSET($H$3,0,0,'Données projet'!$E$12+1,1))</f>
        <v>587.74247372331615</v>
      </c>
      <c r="CE102" s="60">
        <f t="shared" si="94"/>
        <v>306.61893266146666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>
        <f>EXP(-LN(2)/35)*CK101+(1-EXP(-LN(2)/35))/(LN(2)/35)*CG102*CH102*VLOOKUP('Données projet'!$B$12,Paramètres!$A$1:$I$89,3,0)*0.475*44/12</f>
        <v>0</v>
      </c>
      <c r="CL102" s="23">
        <f>EXP(-LN(2)/25)*CL101+(1-EXP(-LN(2)/25))/(LN(2)/25)*Calculateur!CG102*Calculateur!CI102*VLOOKUP('Données projet'!$B$12,Paramètres!$A$1:$I$89,3,0)*0.475*44/12</f>
        <v>0</v>
      </c>
      <c r="CM102" s="23">
        <f>EXP(-LN(2)/2)*CM101+(1-EXP(-LN(2)/2))/(LN(2)/2)*CG102*CJ102*VLOOKUP('Données projet'!$B$12,Paramètres!$A$1:$I$89,3,0)*0.475*44/12</f>
        <v>0</v>
      </c>
      <c r="CN102" s="24">
        <f t="shared" si="66"/>
        <v>0</v>
      </c>
      <c r="CO102" s="77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5.9</v>
      </c>
      <c r="CT102" s="13">
        <f>IF('Données projet'!$A$140&gt;35,CT101+CS102-DB101,IF(A102&lt;'Données projet'!$A$140,$CQ$205^A102,IF(A102='Données projet'!$A$140,'Données projet'!$B$140,CT101+CS102-DB101)))</f>
        <v>355.1</v>
      </c>
      <c r="CU102" s="18">
        <f>CT102*VLOOKUP('Données projet'!$B$13,Paramètres!$A$1:$I$89,3,0)*VLOOKUP('Données projet'!$B$13,Paramètres!$A$1:$I$89,5,0)</f>
        <v>382.22964000000002</v>
      </c>
      <c r="CV102" s="14">
        <f t="shared" si="95"/>
        <v>88.164524709828513</v>
      </c>
      <c r="CW102" s="22">
        <f t="shared" si="67"/>
        <v>819.26983686961796</v>
      </c>
      <c r="CX102" s="60">
        <f t="shared" si="68"/>
        <v>1112.6031702029513</v>
      </c>
      <c r="CY102" s="60">
        <f ca="1">AVERAGE(OFFSET($CX$3,0,0,'Données projet'!$E$13+1,1))-AVERAGE(OFFSET($H$3,0,0,'Données projet'!$E$13+1,1))</f>
        <v>621.10465023992288</v>
      </c>
      <c r="CZ102" s="60">
        <f t="shared" si="96"/>
        <v>322.81767004794284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>
        <f>EXP(-LN(2)/35)*DF101+(1-EXP(-LN(2)/35))/(LN(2)/35)*DB102*DC102*VLOOKUP('Données projet'!$B$13,Paramètres!$A$1:$I$89,3,0)*0.475*44/12</f>
        <v>0</v>
      </c>
      <c r="DG102" s="23">
        <f>EXP(-LN(2)/25)*DG101+(1-EXP(-LN(2)/25))/(LN(2)/25)*Calculateur!DB102*Calculateur!DD102*VLOOKUP('Données projet'!$B$13,Paramètres!$A$1:$I$89,3,0)*0.475*44/12</f>
        <v>0</v>
      </c>
      <c r="DH102" s="23">
        <f>EXP(-LN(2)/2)*DH101+(1-EXP(-LN(2)/2))/(LN(2)/2)*DB102*DE102*VLOOKUP('Données projet'!$B$13,Paramètres!$A$1:$I$89,3,0)*0.475*44/12</f>
        <v>0</v>
      </c>
      <c r="DI102" s="24">
        <f t="shared" si="69"/>
        <v>0</v>
      </c>
      <c r="DJ102" s="77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5.9</v>
      </c>
      <c r="DO102" s="13">
        <f>IF('Données projet'!$A$166&gt;35,DO101+DN102-DW101,IF(A102&lt;'Données projet'!$A$166,$DL$205^A102,IF(A102='Données projet'!$A$166,'Données projet'!$B$166,DO101+DN102-DW101)))</f>
        <v>355.1</v>
      </c>
      <c r="DP102" s="18">
        <f>DO102*VLOOKUP('Données projet'!$B$14,Paramètres!$A$1:$I$89,3,0)*VLOOKUP('Données projet'!$B$14,Paramètres!$A$1:$I$89,5,0)</f>
        <v>343.45272</v>
      </c>
      <c r="DQ102" s="14">
        <f t="shared" si="97"/>
        <v>80.212880209411935</v>
      </c>
      <c r="DR102" s="22">
        <f t="shared" si="70"/>
        <v>737.88425369805907</v>
      </c>
      <c r="DS102" s="60">
        <f t="shared" si="71"/>
        <v>1031.2175870313924</v>
      </c>
      <c r="DT102" s="60">
        <f ca="1">AVERAGE(OFFSET($DS$3,0,0,'Données projet'!$E$14+1,1))-AVERAGE(OFFSET($H$3,0,0,'Données projet'!$E$14+1,1))</f>
        <v>562.69380557620775</v>
      </c>
      <c r="DU102" s="60">
        <f t="shared" si="98"/>
        <v>294.45557293177131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>
        <f>EXP(-LN(2)/35)*EA101+(1-EXP(-LN(2)/35))/(LN(2)/35)*DW102*DX102*VLOOKUP('Données projet'!$B$14,Paramètres!$A$1:$I$89,3,0)*0.475*44/12</f>
        <v>0</v>
      </c>
      <c r="EB102" s="23">
        <f>EXP(-LN(2)/25)*EB101+(1-EXP(-LN(2)/25))/(LN(2)/25)*Calculateur!DW102*Calculateur!DY102*VLOOKUP('Données projet'!$B$14,Paramètres!$A$1:$I$89,3,0)*0.475*44/12</f>
        <v>0</v>
      </c>
      <c r="EC102" s="23">
        <f>EXP(-LN(2)/2)*EC101+(1-EXP(-LN(2)/2))/(LN(2)/2)*DW102*DZ102*VLOOKUP('Données projet'!$B$14,Paramètres!$A$1:$I$89,3,0)*0.475*44/12</f>
        <v>0</v>
      </c>
      <c r="ED102" s="24">
        <f t="shared" si="72"/>
        <v>0</v>
      </c>
      <c r="EE102" s="77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1.1368683772161603E-13</v>
      </c>
      <c r="EK102" s="18">
        <f>EJ102*VLOOKUP('Données projet'!$B$15,Paramètres!$A$1:$I$89,3,0)*VLOOKUP('Données projet'!$B$15,Paramètres!$A$1:$I$89,5,0)</f>
        <v>8.8675733422860506E-14</v>
      </c>
      <c r="EL102" s="14">
        <f t="shared" si="99"/>
        <v>1.3509285393066301E-12</v>
      </c>
      <c r="EM102" s="22">
        <f t="shared" si="73"/>
        <v>2.5073107750038623E-12</v>
      </c>
      <c r="EN102" s="60">
        <f t="shared" si="74"/>
        <v>293.33333333333582</v>
      </c>
      <c r="EO102" s="60">
        <f ca="1">AVERAGE(OFFSET($EN$3,0,0,'Données projet'!$E$15+1,1))-AVERAGE(OFFSET($H$3,0,0,'Données projet'!$E$15+1,1))</f>
        <v>292.57482726862594</v>
      </c>
      <c r="EP102" s="60">
        <f t="shared" si="100"/>
        <v>283.48738729114024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>
        <f>EXP(-LN(2)/35)*EV101+(1-EXP(-LN(2)/35))/(LN(2)/35)*ER102*ES102*VLOOKUP('Données projet'!$B$15,Paramètres!$A$1:$I$89,3,0)*0.475*44/12</f>
        <v>0</v>
      </c>
      <c r="EW102" s="23">
        <f>EXP(-LN(2)/25)*EW101+(1-EXP(-LN(2)/25))/(LN(2)/25)*Calculateur!ER102*Calculateur!ET102*VLOOKUP('Données projet'!$B$15,Paramètres!$A$1:$I$89,3,0)*0.475*44/12</f>
        <v>0</v>
      </c>
      <c r="EX102" s="23">
        <f>EXP(-LN(2)/2)*EX101+(1-EXP(-LN(2)/2))/(LN(2)/2)*ER102*EU102*VLOOKUP('Données projet'!$B$15,Paramètres!$A$1:$I$89,3,0)*0.475*44/12</f>
        <v>0</v>
      </c>
      <c r="EY102" s="24">
        <f t="shared" si="75"/>
        <v>0</v>
      </c>
      <c r="EZ102" s="77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0" t="e">
        <f t="shared" si="77"/>
        <v>#N/A</v>
      </c>
      <c r="FJ102" s="60" t="e">
        <f ca="1">AVERAGE(OFFSET($FI$3,0,0,'Données projet'!$E$16+1,1))-AVERAGE(OFFSET($H$3,0,0,'Données projet'!$E$16+1,1))</f>
        <v>#N/A</v>
      </c>
      <c r="FK102" s="60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77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0" t="e">
        <f t="shared" si="80"/>
        <v>#N/A</v>
      </c>
      <c r="GE102" s="60" t="e">
        <f ca="1">AVERAGE(OFFSET($GD$3,0,0,'Données projet'!$E$17+1,1))-AVERAGE(OFFSET($H$3,0,0,'Données projet'!$E$17+1,1))</f>
        <v>#N/A</v>
      </c>
      <c r="GF102" s="60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77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0" t="e">
        <f t="shared" si="83"/>
        <v>#N/A</v>
      </c>
      <c r="GZ102" s="60" t="e">
        <f ca="1">AVERAGE(OFFSET($GY$3,0,0,'Données projet'!$E$18+1,1))-AVERAGE(OFFSET($H$3,0,0,'Données projet'!$E$18+1,1))</f>
        <v>#N/A</v>
      </c>
      <c r="HA102" s="60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25">
      <c r="A103" s="11">
        <f t="shared" si="85"/>
        <v>100</v>
      </c>
      <c r="B103" s="74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2">
        <f t="shared" si="86"/>
        <v>0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0</v>
      </c>
      <c r="H103" s="67">
        <f t="shared" si="56"/>
        <v>256.66666666666669</v>
      </c>
      <c r="I103" s="7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>
        <f>VLOOKUP(A103,'Données projet'!$A$35:$I$55,2,0)</f>
        <v>271.79487179487177</v>
      </c>
      <c r="L103" s="13">
        <f>VLOOKUP(A103,'Données projet'!$A$35:$I$55,9,0)</f>
        <v>3.5897435897435854</v>
      </c>
      <c r="M103" s="13">
        <f t="array" ref="M103">INDEX(L:L,MIN(IF(ISNUMBER(L103:L299),ROW(L103:L299),"")))</f>
        <v>3.5897435897435854</v>
      </c>
      <c r="N103" s="14">
        <f>IF('Données projet'!$A$36&gt;35,N102+M103-V102,IF(A103&lt;'Données projet'!$A$36,$K$205^A103,IF(A103='Données projet'!$A$36,'Données projet'!$B$36,N102+M103-V102)))</f>
        <v>271.79487179487182</v>
      </c>
      <c r="O103" s="14">
        <f>N103*VLOOKUP('Données projet'!$B$9,Paramètres!$A$1:$I$89,3,0)*VLOOKUP('Données projet'!$B$9,Paramètres!$A$1:$I$89,5,0)</f>
        <v>258.64</v>
      </c>
      <c r="P103" s="14">
        <f t="shared" si="87"/>
        <v>62.432392489161579</v>
      </c>
      <c r="Q103" s="22">
        <f t="shared" si="107"/>
        <v>559.20108358528967</v>
      </c>
      <c r="R103" s="60">
        <f t="shared" si="55"/>
        <v>852.53441691862304</v>
      </c>
      <c r="S103" s="60">
        <f ca="1">AVERAGE(OFFSET($R$3,0,0,'Données projet'!$E$9+1,1))-AVERAGE(OFFSET($H$3,0,0,'Données projet'!$E$9+1,1))</f>
        <v>403.49781966317852</v>
      </c>
      <c r="T103" s="60">
        <f t="shared" si="88"/>
        <v>326.06674572505409</v>
      </c>
      <c r="U103" s="16">
        <f>IF(ISNA(VLOOKUP(A103,'Données projet'!$A$35:$I$55,3,0)),0,VLOOKUP(A103,'Données projet'!$A$35:$I$55,3,0))</f>
        <v>9</v>
      </c>
      <c r="V103" s="16">
        <f>IF(ISNA(VLOOKUP(A103,'Données projet'!$A$35:$I$55,4,0)),0,VLOOKUP(A103,'Données projet'!$A$35:$I$55,4,0))</f>
        <v>26.282051282051281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0</v>
      </c>
      <c r="AA103" s="23">
        <f>EXP(-LN(2)/25)*AA102+(1-EXP(-LN(2)/25))/(LN(2)/25)*Calculateur!V103*Calculateur!X103*VLOOKUP('Données projet'!$B$9,Paramètres!$A$1:$I$89,3,0)*0.475*44/12</f>
        <v>0</v>
      </c>
      <c r="AB103" s="23">
        <f>EXP(-LN(2)/2)*AB102+(1-EXP(-LN(2)/2))/(LN(2)/2)*V103*Y103*VLOOKUP('Données projet'!$B$9,Paramètres!$A$1:$I$89,3,0)*0.475*44/12</f>
        <v>0</v>
      </c>
      <c r="AC103" s="24">
        <f t="shared" si="57"/>
        <v>0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0</v>
      </c>
      <c r="AI103" s="14">
        <f>IF('Données projet'!$A$62&gt;35,AI102+AH103-AQ102,IF(A103&lt;'Données projet'!$A$62,$AF$205^A103,IF(A103='Données projet'!$A$62,'Données projet'!$B$62,AI102+AH103-AQ102)))</f>
        <v>-1.1368683772161603E-13</v>
      </c>
      <c r="AJ103" s="14">
        <f>AI103*VLOOKUP('Données projet'!$B$10,Paramètres!$A$1:$I$89,3,0)*VLOOKUP('Données projet'!$B$10,Paramètres!$A$1:$I$89,5,0)</f>
        <v>-9.9316821433603781E-14</v>
      </c>
      <c r="AK103" s="14" t="e">
        <f t="shared" si="89"/>
        <v>#NUM!</v>
      </c>
      <c r="AL103" s="22" t="e">
        <f t="shared" si="58"/>
        <v>#NUM!</v>
      </c>
      <c r="AM103" s="60" t="e">
        <f t="shared" si="59"/>
        <v>#NUM!</v>
      </c>
      <c r="AN103" s="60">
        <f ca="1">AVERAGE(OFFSET($AM$3,0,0,'Données projet'!$E$10+1,1))-AVERAGE(OFFSET($H$3,0,0,'Données projet'!$E$10+1,1))</f>
        <v>274.66236526869056</v>
      </c>
      <c r="AO103" s="60">
        <f t="shared" si="90"/>
        <v>256.90876395053073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>
        <f>EXP(-LN(2)/35)*AU102+(1-EXP(-LN(2)/35))/(LN(2)/35)*AQ103*AR103*VLOOKUP('Données projet'!$B$10,Paramètres!$A$1:$I$89,3,0)*0.475*44/12</f>
        <v>0</v>
      </c>
      <c r="AV103" s="23">
        <f>EXP(-LN(2)/25)*AV102+(1-EXP(-LN(2)/25))/(LN(2)/25)*Calculateur!AQ103*Calculateur!AS103*VLOOKUP('Données projet'!$B$10,Paramètres!$A$1:$I$89,3,0)*0.475*44/12</f>
        <v>0</v>
      </c>
      <c r="AW103" s="23">
        <f>EXP(-LN(2)/2)*AW102+(1-EXP(-LN(2)/2))/(LN(2)/2)*AQ103*AT103*VLOOKUP('Données projet'!$B$10,Paramètres!$A$1:$I$89,3,0)*0.475*44/12</f>
        <v>0</v>
      </c>
      <c r="AX103" s="23">
        <f t="shared" si="60"/>
        <v>0</v>
      </c>
      <c r="AY103" s="76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>
        <f>VLOOKUP(A103,'Données projet'!$A$87:$I$107,2,0)</f>
        <v>361</v>
      </c>
      <c r="BB103" s="13">
        <f>VLOOKUP(A103,'Données projet'!$A$87:$I$107,9,0)</f>
        <v>5.9</v>
      </c>
      <c r="BC103" s="13">
        <f t="array" ref="BC103">INDEX(BB:BB,MIN(IF(ISNUMBER(BB103:BB299),ROW(BB103:BB299),"")))</f>
        <v>5.9</v>
      </c>
      <c r="BD103" s="13">
        <f>IF('Données projet'!$A$88&gt;35,BD102+BC103-BL102,IF(A103&lt;'Données projet'!$A$88,$BA$205^A103,IF(A103='Données projet'!$A$88,'Données projet'!$B$88,BD102+BC103-BL102)))</f>
        <v>361</v>
      </c>
      <c r="BE103" s="14">
        <f>BD103*VLOOKUP('Données projet'!$B$11,Paramètres!$A$1:$I$89,3,0)*VLOOKUP('Données projet'!$B$11,Paramètres!$A$1:$I$89,5,0)</f>
        <v>326.63280000000003</v>
      </c>
      <c r="BF103" s="14">
        <f t="shared" si="91"/>
        <v>76.731784548754845</v>
      </c>
      <c r="BG103" s="22">
        <f t="shared" si="61"/>
        <v>702.52665142241483</v>
      </c>
      <c r="BH103" s="60">
        <f t="shared" si="62"/>
        <v>995.8599847557482</v>
      </c>
      <c r="BI103" s="60">
        <f ca="1">AVERAGE(OFFSET($BH$3,0,0,'Données projet'!$E$11+1,1))-AVERAGE(OFFSET($H$3,0,0,'Données projet'!$E$11+1,1))</f>
        <v>529.25712986118265</v>
      </c>
      <c r="BJ103" s="60">
        <f t="shared" si="92"/>
        <v>278.21741231699929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>
        <f>EXP(-LN(2)/35)*BP102+(1-EXP(-LN(2)/35))/(LN(2)/35)*BL103*BM103*VLOOKUP('Données projet'!$B$11,Paramètres!$A$1:$I$89,3,0)*0.475*44/12</f>
        <v>0</v>
      </c>
      <c r="BQ103" s="23">
        <f>EXP(-LN(2)/25)*BQ102+(1-EXP(-LN(2)/25))/(LN(2)/25)*Calculateur!BL103*Calculateur!BN103*VLOOKUP('Données projet'!$B$11,Paramètres!$A$1:$I$89,3,0)*0.475*44/12</f>
        <v>0</v>
      </c>
      <c r="BR103" s="23">
        <f>EXP(-LN(2)/2)*BR102+(1-EXP(-LN(2)/2))/(LN(2)/2)*BL103*BO103*VLOOKUP('Données projet'!$B$11,Paramètres!$A$1:$I$89,3,0)*0.475*44/12</f>
        <v>0</v>
      </c>
      <c r="BS103" s="24">
        <f t="shared" si="63"/>
        <v>0</v>
      </c>
      <c r="BT103" s="77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>
        <f>VLOOKUP(A103,'Données projet'!$A$113:$I$133,2,0)</f>
        <v>361</v>
      </c>
      <c r="BW103" s="13">
        <f>VLOOKUP(A103,'Données projet'!$A$113:$I$133,9,0)</f>
        <v>5.9</v>
      </c>
      <c r="BX103" s="13">
        <f t="array" ref="BX103">INDEX(BW:BW,MIN(IF(ISNUMBER(BW103:BW299),ROW(BW103:BW299),"")))</f>
        <v>5.9</v>
      </c>
      <c r="BY103" s="13">
        <f>IF('Données projet'!$A$114&gt;35,BY102+BX103-CG102,IF(A103&lt;'Données projet'!$A$114,$BV$205^A103,IF(A103='Données projet'!$A$114,'Données projet'!$B$114,BY102+BX103-CG102)))</f>
        <v>361</v>
      </c>
      <c r="BZ103" s="14">
        <f>BY103*VLOOKUP('Données projet'!$B$12,Paramètres!$A$1:$I$89,3,0)*VLOOKUP('Données projet'!$B$12,Paramètres!$A$1:$I$89,5,0)</f>
        <v>366.05400000000003</v>
      </c>
      <c r="CA103" s="14">
        <f t="shared" si="93"/>
        <v>84.859518948359735</v>
      </c>
      <c r="CB103" s="22">
        <f t="shared" si="64"/>
        <v>785.34104550172651</v>
      </c>
      <c r="CC103" s="60">
        <f t="shared" si="65"/>
        <v>1078.6743788350598</v>
      </c>
      <c r="CD103" s="60">
        <f ca="1">AVERAGE(OFFSET($CC$3,0,0,'Données projet'!$E$12+1,1))-AVERAGE(OFFSET($H$3,0,0,'Données projet'!$E$12+1,1))</f>
        <v>587.74247372331615</v>
      </c>
      <c r="CE103" s="60">
        <f t="shared" si="94"/>
        <v>306.61893266146666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>
        <f>EXP(-LN(2)/35)*CK102+(1-EXP(-LN(2)/35))/(LN(2)/35)*CG103*CH103*VLOOKUP('Données projet'!$B$12,Paramètres!$A$1:$I$89,3,0)*0.475*44/12</f>
        <v>0</v>
      </c>
      <c r="CL103" s="23">
        <f>EXP(-LN(2)/25)*CL102+(1-EXP(-LN(2)/25))/(LN(2)/25)*Calculateur!CG103*Calculateur!CI103*VLOOKUP('Données projet'!$B$12,Paramètres!$A$1:$I$89,3,0)*0.475*44/12</f>
        <v>0</v>
      </c>
      <c r="CM103" s="23">
        <f>EXP(-LN(2)/2)*CM102+(1-EXP(-LN(2)/2))/(LN(2)/2)*CG103*CJ103*VLOOKUP('Données projet'!$B$12,Paramètres!$A$1:$I$89,3,0)*0.475*44/12</f>
        <v>0</v>
      </c>
      <c r="CN103" s="24">
        <f t="shared" si="66"/>
        <v>0</v>
      </c>
      <c r="CO103" s="77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>
        <f>VLOOKUP(A103,'Données projet'!$A$139:$I$159,2,0)</f>
        <v>361</v>
      </c>
      <c r="CR103" s="13">
        <f>VLOOKUP(A103,'Données projet'!$A$139:$I$159,9,0)</f>
        <v>5.9</v>
      </c>
      <c r="CS103" s="13">
        <f t="array" ref="CS103">INDEX(CR:CR,MIN(IF(ISNUMBER(CR103:CR299),ROW(CR103:CR299),"")))</f>
        <v>5.9</v>
      </c>
      <c r="CT103" s="13">
        <f>IF('Données projet'!$A$140&gt;35,CT102+CS103-DB102,IF(A103&lt;'Données projet'!$A$140,$CQ$205^A103,IF(A103='Données projet'!$A$140,'Données projet'!$B$140,CT102+CS103-DB102)))</f>
        <v>361</v>
      </c>
      <c r="CU103" s="18">
        <f>CT103*VLOOKUP('Données projet'!$B$13,Paramètres!$A$1:$I$89,3,0)*VLOOKUP('Données projet'!$B$13,Paramètres!$A$1:$I$89,5,0)</f>
        <v>388.5804</v>
      </c>
      <c r="CV103" s="14">
        <f t="shared" si="95"/>
        <v>89.457628336614817</v>
      </c>
      <c r="CW103" s="22">
        <f t="shared" si="67"/>
        <v>832.58289935293749</v>
      </c>
      <c r="CX103" s="60">
        <f t="shared" si="68"/>
        <v>1125.9162326862709</v>
      </c>
      <c r="CY103" s="60">
        <f ca="1">AVERAGE(OFFSET($CX$3,0,0,'Données projet'!$E$13+1,1))-AVERAGE(OFFSET($H$3,0,0,'Données projet'!$E$13+1,1))</f>
        <v>621.10465023992288</v>
      </c>
      <c r="CZ103" s="60">
        <f t="shared" si="96"/>
        <v>322.81767004794284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>
        <f>EXP(-LN(2)/35)*DF102+(1-EXP(-LN(2)/35))/(LN(2)/35)*DB103*DC103*VLOOKUP('Données projet'!$B$13,Paramètres!$A$1:$I$89,3,0)*0.475*44/12</f>
        <v>0</v>
      </c>
      <c r="DG103" s="23">
        <f>EXP(-LN(2)/25)*DG102+(1-EXP(-LN(2)/25))/(LN(2)/25)*Calculateur!DB103*Calculateur!DD103*VLOOKUP('Données projet'!$B$13,Paramètres!$A$1:$I$89,3,0)*0.475*44/12</f>
        <v>0</v>
      </c>
      <c r="DH103" s="23">
        <f>EXP(-LN(2)/2)*DH102+(1-EXP(-LN(2)/2))/(LN(2)/2)*DB103*DE103*VLOOKUP('Données projet'!$B$13,Paramètres!$A$1:$I$89,3,0)*0.475*44/12</f>
        <v>0</v>
      </c>
      <c r="DI103" s="24">
        <f t="shared" si="69"/>
        <v>0</v>
      </c>
      <c r="DJ103" s="77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>
        <f>VLOOKUP(A103,'Données projet'!$A$165:$I$185,2,0)</f>
        <v>361</v>
      </c>
      <c r="DM103" s="13">
        <f>VLOOKUP(A103,'Données projet'!$A$165:$I$185,9,0)</f>
        <v>5.9</v>
      </c>
      <c r="DN103" s="13">
        <f t="array" ref="DN103">INDEX(DM:DM,MIN(IF(ISNUMBER(DM103:DM299),ROW(DM103:DM299),"")))</f>
        <v>5.9</v>
      </c>
      <c r="DO103" s="13">
        <f>IF('Données projet'!$A$166&gt;35,DO102+DN103-DW102,IF(A103&lt;'Données projet'!$A$166,$DL$205^A103,IF(A103='Données projet'!$A$166,'Données projet'!$B$166,DO102+DN103-DW102)))</f>
        <v>361</v>
      </c>
      <c r="DP103" s="18">
        <f>DO103*VLOOKUP('Données projet'!$B$14,Paramètres!$A$1:$I$89,3,0)*VLOOKUP('Données projet'!$B$14,Paramètres!$A$1:$I$89,5,0)</f>
        <v>349.1592</v>
      </c>
      <c r="DQ103" s="14">
        <f t="shared" si="97"/>
        <v>81.389357558494837</v>
      </c>
      <c r="DR103" s="22">
        <f t="shared" si="70"/>
        <v>749.87207108104519</v>
      </c>
      <c r="DS103" s="60">
        <f t="shared" si="71"/>
        <v>1043.2054044143786</v>
      </c>
      <c r="DT103" s="60">
        <f ca="1">AVERAGE(OFFSET($DS$3,0,0,'Données projet'!$E$14+1,1))-AVERAGE(OFFSET($H$3,0,0,'Données projet'!$E$14+1,1))</f>
        <v>562.69380557620775</v>
      </c>
      <c r="DU103" s="60">
        <f t="shared" si="98"/>
        <v>294.45557293177131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>
        <f>EXP(-LN(2)/35)*EA102+(1-EXP(-LN(2)/35))/(LN(2)/35)*DW103*DX103*VLOOKUP('Données projet'!$B$14,Paramètres!$A$1:$I$89,3,0)*0.475*44/12</f>
        <v>0</v>
      </c>
      <c r="EB103" s="23">
        <f>EXP(-LN(2)/25)*EB102+(1-EXP(-LN(2)/25))/(LN(2)/25)*Calculateur!DW103*Calculateur!DY103*VLOOKUP('Données projet'!$B$14,Paramètres!$A$1:$I$89,3,0)*0.475*44/12</f>
        <v>0</v>
      </c>
      <c r="EC103" s="23">
        <f>EXP(-LN(2)/2)*EC102+(1-EXP(-LN(2)/2))/(LN(2)/2)*DW103*DZ103*VLOOKUP('Données projet'!$B$14,Paramètres!$A$1:$I$89,3,0)*0.475*44/12</f>
        <v>0</v>
      </c>
      <c r="ED103" s="24">
        <f t="shared" si="72"/>
        <v>0</v>
      </c>
      <c r="EE103" s="77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1.1368683772161603E-13</v>
      </c>
      <c r="EK103" s="18">
        <f>EJ103*VLOOKUP('Données projet'!$B$15,Paramètres!$A$1:$I$89,3,0)*VLOOKUP('Données projet'!$B$15,Paramètres!$A$1:$I$89,5,0)</f>
        <v>8.8675733422860506E-14</v>
      </c>
      <c r="EL103" s="14">
        <f t="shared" si="99"/>
        <v>1.3509285393066301E-12</v>
      </c>
      <c r="EM103" s="22">
        <f t="shared" si="73"/>
        <v>2.5073107750038623E-12</v>
      </c>
      <c r="EN103" s="60">
        <f t="shared" si="74"/>
        <v>293.33333333333582</v>
      </c>
      <c r="EO103" s="60">
        <f ca="1">AVERAGE(OFFSET($EN$3,0,0,'Données projet'!$E$15+1,1))-AVERAGE(OFFSET($H$3,0,0,'Données projet'!$E$15+1,1))</f>
        <v>292.57482726862594</v>
      </c>
      <c r="EP103" s="60">
        <f t="shared" si="100"/>
        <v>283.48738729114024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>
        <f>EXP(-LN(2)/35)*EV102+(1-EXP(-LN(2)/35))/(LN(2)/35)*ER103*ES103*VLOOKUP('Données projet'!$B$15,Paramètres!$A$1:$I$89,3,0)*0.475*44/12</f>
        <v>0</v>
      </c>
      <c r="EW103" s="23">
        <f>EXP(-LN(2)/25)*EW102+(1-EXP(-LN(2)/25))/(LN(2)/25)*Calculateur!ER103*Calculateur!ET103*VLOOKUP('Données projet'!$B$15,Paramètres!$A$1:$I$89,3,0)*0.475*44/12</f>
        <v>0</v>
      </c>
      <c r="EX103" s="23">
        <f>EXP(-LN(2)/2)*EX102+(1-EXP(-LN(2)/2))/(LN(2)/2)*ER103*EU103*VLOOKUP('Données projet'!$B$15,Paramètres!$A$1:$I$89,3,0)*0.475*44/12</f>
        <v>0</v>
      </c>
      <c r="EY103" s="24">
        <f t="shared" si="75"/>
        <v>0</v>
      </c>
      <c r="EZ103" s="77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0" t="e">
        <f t="shared" si="77"/>
        <v>#N/A</v>
      </c>
      <c r="FJ103" s="60" t="e">
        <f ca="1">AVERAGE(OFFSET($FI$3,0,0,'Données projet'!$E$16+1,1))-AVERAGE(OFFSET($H$3,0,0,'Données projet'!$E$16+1,1))</f>
        <v>#N/A</v>
      </c>
      <c r="FK103" s="60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77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0" t="e">
        <f t="shared" si="80"/>
        <v>#N/A</v>
      </c>
      <c r="GE103" s="60" t="e">
        <f ca="1">AVERAGE(OFFSET($GD$3,0,0,'Données projet'!$E$17+1,1))-AVERAGE(OFFSET($H$3,0,0,'Données projet'!$E$17+1,1))</f>
        <v>#N/A</v>
      </c>
      <c r="GF103" s="60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77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0" t="e">
        <f t="shared" si="83"/>
        <v>#N/A</v>
      </c>
      <c r="GZ103" s="60" t="e">
        <f ca="1">AVERAGE(OFFSET($GY$3,0,0,'Données projet'!$E$18+1,1))-AVERAGE(OFFSET($H$3,0,0,'Données projet'!$E$18+1,1))</f>
        <v>#N/A</v>
      </c>
      <c r="HA103" s="60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25">
      <c r="A104" s="11">
        <f t="shared" si="85"/>
        <v>101</v>
      </c>
      <c r="B104" s="74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2">
        <f t="shared" si="86"/>
        <v>0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0</v>
      </c>
      <c r="H104" s="67">
        <f t="shared" si="56"/>
        <v>256.66666666666669</v>
      </c>
      <c r="I104" s="7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3.3974358974359005</v>
      </c>
      <c r="N104" s="14">
        <f>IF('Données projet'!$A$36&gt;35,N103+M104-V103,IF(A104&lt;'Données projet'!$A$36,$K$205^A104,IF(A104='Données projet'!$A$36,'Données projet'!$B$36,N103+M104-V103)))</f>
        <v>248.91025641025647</v>
      </c>
      <c r="O104" s="14">
        <f>N104*VLOOKUP('Données projet'!$B$9,Paramètres!$A$1:$I$89,3,0)*VLOOKUP('Données projet'!$B$9,Paramètres!$A$1:$I$89,5,0)</f>
        <v>236.86300000000006</v>
      </c>
      <c r="P104" s="14">
        <f t="shared" si="87"/>
        <v>57.76407369313457</v>
      </c>
      <c r="Q104" s="22">
        <f t="shared" si="107"/>
        <v>513.14215334887604</v>
      </c>
      <c r="R104" s="60">
        <f t="shared" si="55"/>
        <v>806.47548668220929</v>
      </c>
      <c r="S104" s="60">
        <f ca="1">AVERAGE(OFFSET($R$3,0,0,'Données projet'!$E$9+1,1))-AVERAGE(OFFSET($H$3,0,0,'Données projet'!$E$9+1,1))</f>
        <v>403.49781966317852</v>
      </c>
      <c r="T104" s="60">
        <f t="shared" si="88"/>
        <v>326.06674572505409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0</v>
      </c>
      <c r="AA104" s="23">
        <f>EXP(-LN(2)/25)*AA103+(1-EXP(-LN(2)/25))/(LN(2)/25)*Calculateur!V104*Calculateur!X104*VLOOKUP('Données projet'!$B$9,Paramètres!$A$1:$I$89,3,0)*0.475*44/12</f>
        <v>0</v>
      </c>
      <c r="AB104" s="23">
        <f>EXP(-LN(2)/2)*AB103+(1-EXP(-LN(2)/2))/(LN(2)/2)*V104*Y104*VLOOKUP('Données projet'!$B$9,Paramètres!$A$1:$I$89,3,0)*0.475*44/12</f>
        <v>0</v>
      </c>
      <c r="AC104" s="24">
        <f t="shared" si="57"/>
        <v>0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IF('Données projet'!$A$62&gt;35,AI103+AH104-AQ103,IF(A104&lt;'Données projet'!$A$62,$AF$205^A104,IF(A104='Données projet'!$A$62,'Données projet'!$B$62,AI103+AH104-AQ103)))</f>
        <v>-1.1368683772161603E-13</v>
      </c>
      <c r="AJ104" s="14">
        <f>AI104*VLOOKUP('Données projet'!$B$10,Paramètres!$A$1:$I$89,3,0)*VLOOKUP('Données projet'!$B$10,Paramètres!$A$1:$I$89,5,0)</f>
        <v>-9.9316821433603781E-14</v>
      </c>
      <c r="AK104" s="14" t="e">
        <f t="shared" si="89"/>
        <v>#NUM!</v>
      </c>
      <c r="AL104" s="22" t="e">
        <f t="shared" si="58"/>
        <v>#NUM!</v>
      </c>
      <c r="AM104" s="60" t="e">
        <f t="shared" si="59"/>
        <v>#NUM!</v>
      </c>
      <c r="AN104" s="60">
        <f ca="1">AVERAGE(OFFSET($AM$3,0,0,'Données projet'!$E$10+1,1))-AVERAGE(OFFSET($H$3,0,0,'Données projet'!$E$10+1,1))</f>
        <v>274.66236526869056</v>
      </c>
      <c r="AO104" s="60">
        <f t="shared" si="90"/>
        <v>256.90876395053073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>
        <f>EXP(-LN(2)/35)*AU103+(1-EXP(-LN(2)/35))/(LN(2)/35)*AQ104*AR104*VLOOKUP('Données projet'!$B$10,Paramètres!$A$1:$I$89,3,0)*0.475*44/12</f>
        <v>0</v>
      </c>
      <c r="AV104" s="23">
        <f>EXP(-LN(2)/25)*AV103+(1-EXP(-LN(2)/25))/(LN(2)/25)*Calculateur!AQ104*Calculateur!AS104*VLOOKUP('Données projet'!$B$10,Paramètres!$A$1:$I$89,3,0)*0.475*44/12</f>
        <v>0</v>
      </c>
      <c r="AW104" s="23">
        <f>EXP(-LN(2)/2)*AW103+(1-EXP(-LN(2)/2))/(LN(2)/2)*AQ104*AT104*VLOOKUP('Données projet'!$B$10,Paramètres!$A$1:$I$89,3,0)*0.475*44/12</f>
        <v>0</v>
      </c>
      <c r="AX104" s="23">
        <f t="shared" si="60"/>
        <v>0</v>
      </c>
      <c r="AY104" s="76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5.2</v>
      </c>
      <c r="BD104" s="13">
        <f>IF('Données projet'!$A$88&gt;35,BD103+BC104-BL103,IF(A104&lt;'Données projet'!$A$88,$BA$205^A104,IF(A104='Données projet'!$A$88,'Données projet'!$B$88,BD103+BC104-BL103)))</f>
        <v>366.2</v>
      </c>
      <c r="BE104" s="14">
        <f>BD104*VLOOKUP('Données projet'!$B$11,Paramètres!$A$1:$I$89,3,0)*VLOOKUP('Données projet'!$B$11,Paramètres!$A$1:$I$89,5,0)</f>
        <v>331.33776</v>
      </c>
      <c r="BF104" s="14">
        <f t="shared" si="91"/>
        <v>77.707593612890619</v>
      </c>
      <c r="BG104" s="22">
        <f t="shared" si="61"/>
        <v>712.42065754245107</v>
      </c>
      <c r="BH104" s="60">
        <f t="shared" si="62"/>
        <v>1005.7539908757844</v>
      </c>
      <c r="BI104" s="60">
        <f ca="1">AVERAGE(OFFSET($BH$3,0,0,'Données projet'!$E$11+1,1))-AVERAGE(OFFSET($H$3,0,0,'Données projet'!$E$11+1,1))</f>
        <v>529.25712986118265</v>
      </c>
      <c r="BJ104" s="60">
        <f t="shared" si="92"/>
        <v>278.21741231699929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>
        <f>EXP(-LN(2)/35)*BP103+(1-EXP(-LN(2)/35))/(LN(2)/35)*BL104*BM104*VLOOKUP('Données projet'!$B$11,Paramètres!$A$1:$I$89,3,0)*0.475*44/12</f>
        <v>0</v>
      </c>
      <c r="BQ104" s="23">
        <f>EXP(-LN(2)/25)*BQ103+(1-EXP(-LN(2)/25))/(LN(2)/25)*Calculateur!BL104*Calculateur!BN104*VLOOKUP('Données projet'!$B$11,Paramètres!$A$1:$I$89,3,0)*0.475*44/12</f>
        <v>0</v>
      </c>
      <c r="BR104" s="23">
        <f>EXP(-LN(2)/2)*BR103+(1-EXP(-LN(2)/2))/(LN(2)/2)*BL104*BO104*VLOOKUP('Données projet'!$B$11,Paramètres!$A$1:$I$89,3,0)*0.475*44/12</f>
        <v>0</v>
      </c>
      <c r="BS104" s="24">
        <f t="shared" si="63"/>
        <v>0</v>
      </c>
      <c r="BT104" s="77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5.2</v>
      </c>
      <c r="BY104" s="13">
        <f>IF('Données projet'!$A$114&gt;35,BY103+BX104-CG103,IF(A104&lt;'Données projet'!$A$114,$BV$205^A104,IF(A104='Données projet'!$A$114,'Données projet'!$B$114,BY103+BX104-CG103)))</f>
        <v>366.2</v>
      </c>
      <c r="BZ104" s="14">
        <f>BY104*VLOOKUP('Données projet'!$B$12,Paramètres!$A$1:$I$89,3,0)*VLOOKUP('Données projet'!$B$12,Paramètres!$A$1:$I$89,5,0)</f>
        <v>371.32679999999999</v>
      </c>
      <c r="CA104" s="14">
        <f t="shared" si="93"/>
        <v>85.938689571784892</v>
      </c>
      <c r="CB104" s="22">
        <f t="shared" si="64"/>
        <v>796.40406100419193</v>
      </c>
      <c r="CC104" s="60">
        <f t="shared" si="65"/>
        <v>1089.7373943375253</v>
      </c>
      <c r="CD104" s="60">
        <f ca="1">AVERAGE(OFFSET($CC$3,0,0,'Données projet'!$E$12+1,1))-AVERAGE(OFFSET($H$3,0,0,'Données projet'!$E$12+1,1))</f>
        <v>587.74247372331615</v>
      </c>
      <c r="CE104" s="60">
        <f t="shared" si="94"/>
        <v>306.61893266146666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>
        <f>EXP(-LN(2)/35)*CK103+(1-EXP(-LN(2)/35))/(LN(2)/35)*CG104*CH104*VLOOKUP('Données projet'!$B$12,Paramètres!$A$1:$I$89,3,0)*0.475*44/12</f>
        <v>0</v>
      </c>
      <c r="CL104" s="23">
        <f>EXP(-LN(2)/25)*CL103+(1-EXP(-LN(2)/25))/(LN(2)/25)*Calculateur!CG104*Calculateur!CI104*VLOOKUP('Données projet'!$B$12,Paramètres!$A$1:$I$89,3,0)*0.475*44/12</f>
        <v>0</v>
      </c>
      <c r="CM104" s="23">
        <f>EXP(-LN(2)/2)*CM103+(1-EXP(-LN(2)/2))/(LN(2)/2)*CG104*CJ104*VLOOKUP('Données projet'!$B$12,Paramètres!$A$1:$I$89,3,0)*0.475*44/12</f>
        <v>0</v>
      </c>
      <c r="CN104" s="24">
        <f t="shared" si="66"/>
        <v>0</v>
      </c>
      <c r="CO104" s="77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5.2</v>
      </c>
      <c r="CT104" s="13">
        <f>IF('Données projet'!$A$140&gt;35,CT103+CS104-DB103,IF(A104&lt;'Données projet'!$A$140,$CQ$205^A104,IF(A104='Données projet'!$A$140,'Données projet'!$B$140,CT103+CS104-DB103)))</f>
        <v>366.2</v>
      </c>
      <c r="CU104" s="18">
        <f>CT104*VLOOKUP('Données projet'!$B$13,Paramètres!$A$1:$I$89,3,0)*VLOOKUP('Données projet'!$B$13,Paramètres!$A$1:$I$89,5,0)</f>
        <v>394.17767999999995</v>
      </c>
      <c r="CV104" s="14">
        <f t="shared" si="95"/>
        <v>90.59527377390414</v>
      </c>
      <c r="CW104" s="22">
        <f t="shared" si="67"/>
        <v>844.31289448954965</v>
      </c>
      <c r="CX104" s="60">
        <f t="shared" si="68"/>
        <v>1137.646227822883</v>
      </c>
      <c r="CY104" s="60">
        <f ca="1">AVERAGE(OFFSET($CX$3,0,0,'Données projet'!$E$13+1,1))-AVERAGE(OFFSET($H$3,0,0,'Données projet'!$E$13+1,1))</f>
        <v>621.10465023992288</v>
      </c>
      <c r="CZ104" s="60">
        <f t="shared" si="96"/>
        <v>322.81767004794284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>
        <f>EXP(-LN(2)/35)*DF103+(1-EXP(-LN(2)/35))/(LN(2)/35)*DB104*DC104*VLOOKUP('Données projet'!$B$13,Paramètres!$A$1:$I$89,3,0)*0.475*44/12</f>
        <v>0</v>
      </c>
      <c r="DG104" s="23">
        <f>EXP(-LN(2)/25)*DG103+(1-EXP(-LN(2)/25))/(LN(2)/25)*Calculateur!DB104*Calculateur!DD104*VLOOKUP('Données projet'!$B$13,Paramètres!$A$1:$I$89,3,0)*0.475*44/12</f>
        <v>0</v>
      </c>
      <c r="DH104" s="23">
        <f>EXP(-LN(2)/2)*DH103+(1-EXP(-LN(2)/2))/(LN(2)/2)*DB104*DE104*VLOOKUP('Données projet'!$B$13,Paramètres!$A$1:$I$89,3,0)*0.475*44/12</f>
        <v>0</v>
      </c>
      <c r="DI104" s="24">
        <f t="shared" si="69"/>
        <v>0</v>
      </c>
      <c r="DJ104" s="77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5.2</v>
      </c>
      <c r="DO104" s="13">
        <f>IF('Données projet'!$A$166&gt;35,DO103+DN104-DW103,IF(A104&lt;'Données projet'!$A$166,$DL$205^A104,IF(A104='Données projet'!$A$166,'Données projet'!$B$166,DO103+DN104-DW103)))</f>
        <v>366.2</v>
      </c>
      <c r="DP104" s="18">
        <f>DO104*VLOOKUP('Données projet'!$B$14,Paramètres!$A$1:$I$89,3,0)*VLOOKUP('Données projet'!$B$14,Paramètres!$A$1:$I$89,5,0)</f>
        <v>354.18863999999996</v>
      </c>
      <c r="DQ104" s="14">
        <f t="shared" si="97"/>
        <v>82.424397643862633</v>
      </c>
      <c r="DR104" s="22">
        <f t="shared" si="70"/>
        <v>760.43437389639394</v>
      </c>
      <c r="DS104" s="60">
        <f t="shared" si="71"/>
        <v>1053.7677072297272</v>
      </c>
      <c r="DT104" s="60">
        <f ca="1">AVERAGE(OFFSET($DS$3,0,0,'Données projet'!$E$14+1,1))-AVERAGE(OFFSET($H$3,0,0,'Données projet'!$E$14+1,1))</f>
        <v>562.69380557620775</v>
      </c>
      <c r="DU104" s="60">
        <f t="shared" si="98"/>
        <v>294.45557293177131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>
        <f>EXP(-LN(2)/35)*EA103+(1-EXP(-LN(2)/35))/(LN(2)/35)*DW104*DX104*VLOOKUP('Données projet'!$B$14,Paramètres!$A$1:$I$89,3,0)*0.475*44/12</f>
        <v>0</v>
      </c>
      <c r="EB104" s="23">
        <f>EXP(-LN(2)/25)*EB103+(1-EXP(-LN(2)/25))/(LN(2)/25)*Calculateur!DW104*Calculateur!DY104*VLOOKUP('Données projet'!$B$14,Paramètres!$A$1:$I$89,3,0)*0.475*44/12</f>
        <v>0</v>
      </c>
      <c r="EC104" s="23">
        <f>EXP(-LN(2)/2)*EC103+(1-EXP(-LN(2)/2))/(LN(2)/2)*DW104*DZ104*VLOOKUP('Données projet'!$B$14,Paramètres!$A$1:$I$89,3,0)*0.475*44/12</f>
        <v>0</v>
      </c>
      <c r="ED104" s="24">
        <f t="shared" si="72"/>
        <v>0</v>
      </c>
      <c r="EE104" s="77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1.1368683772161603E-13</v>
      </c>
      <c r="EK104" s="18">
        <f>EJ104*VLOOKUP('Données projet'!$B$15,Paramètres!$A$1:$I$89,3,0)*VLOOKUP('Données projet'!$B$15,Paramètres!$A$1:$I$89,5,0)</f>
        <v>8.8675733422860506E-14</v>
      </c>
      <c r="EL104" s="14">
        <f t="shared" si="99"/>
        <v>1.3509285393066301E-12</v>
      </c>
      <c r="EM104" s="22">
        <f t="shared" si="73"/>
        <v>2.5073107750038623E-12</v>
      </c>
      <c r="EN104" s="60">
        <f t="shared" si="74"/>
        <v>293.33333333333582</v>
      </c>
      <c r="EO104" s="60">
        <f ca="1">AVERAGE(OFFSET($EN$3,0,0,'Données projet'!$E$15+1,1))-AVERAGE(OFFSET($H$3,0,0,'Données projet'!$E$15+1,1))</f>
        <v>292.57482726862594</v>
      </c>
      <c r="EP104" s="60">
        <f t="shared" si="100"/>
        <v>283.48738729114024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>
        <f>EXP(-LN(2)/35)*EV103+(1-EXP(-LN(2)/35))/(LN(2)/35)*ER104*ES104*VLOOKUP('Données projet'!$B$15,Paramètres!$A$1:$I$89,3,0)*0.475*44/12</f>
        <v>0</v>
      </c>
      <c r="EW104" s="23">
        <f>EXP(-LN(2)/25)*EW103+(1-EXP(-LN(2)/25))/(LN(2)/25)*Calculateur!ER104*Calculateur!ET104*VLOOKUP('Données projet'!$B$15,Paramètres!$A$1:$I$89,3,0)*0.475*44/12</f>
        <v>0</v>
      </c>
      <c r="EX104" s="23">
        <f>EXP(-LN(2)/2)*EX103+(1-EXP(-LN(2)/2))/(LN(2)/2)*ER104*EU104*VLOOKUP('Données projet'!$B$15,Paramètres!$A$1:$I$89,3,0)*0.475*44/12</f>
        <v>0</v>
      </c>
      <c r="EY104" s="24">
        <f t="shared" si="75"/>
        <v>0</v>
      </c>
      <c r="EZ104" s="77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0" t="e">
        <f t="shared" si="77"/>
        <v>#N/A</v>
      </c>
      <c r="FJ104" s="60" t="e">
        <f ca="1">AVERAGE(OFFSET($FI$3,0,0,'Données projet'!$E$16+1,1))-AVERAGE(OFFSET($H$3,0,0,'Données projet'!$E$16+1,1))</f>
        <v>#N/A</v>
      </c>
      <c r="FK104" s="60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77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0" t="e">
        <f t="shared" si="80"/>
        <v>#N/A</v>
      </c>
      <c r="GE104" s="60" t="e">
        <f ca="1">AVERAGE(OFFSET($GD$3,0,0,'Données projet'!$E$17+1,1))-AVERAGE(OFFSET($H$3,0,0,'Données projet'!$E$17+1,1))</f>
        <v>#N/A</v>
      </c>
      <c r="GF104" s="60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77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0" t="e">
        <f t="shared" si="83"/>
        <v>#N/A</v>
      </c>
      <c r="GZ104" s="60" t="e">
        <f ca="1">AVERAGE(OFFSET($GY$3,0,0,'Données projet'!$E$18+1,1))-AVERAGE(OFFSET($H$3,0,0,'Données projet'!$E$18+1,1))</f>
        <v>#N/A</v>
      </c>
      <c r="HA104" s="60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25">
      <c r="A105" s="11">
        <f t="shared" si="85"/>
        <v>102</v>
      </c>
      <c r="B105" s="74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2">
        <f t="shared" si="86"/>
        <v>0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0</v>
      </c>
      <c r="H105" s="67">
        <f t="shared" si="56"/>
        <v>256.66666666666669</v>
      </c>
      <c r="I105" s="7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3.3974358974359005</v>
      </c>
      <c r="N105" s="14">
        <f>IF('Données projet'!$A$36&gt;35,N104+M105-V104,IF(A105&lt;'Données projet'!$A$36,$K$205^A105,IF(A105='Données projet'!$A$36,'Données projet'!$B$36,N104+M105-V104)))</f>
        <v>252.30769230769238</v>
      </c>
      <c r="O105" s="14">
        <f>N105*VLOOKUP('Données projet'!$B$9,Paramètres!$A$1:$I$89,3,0)*VLOOKUP('Données projet'!$B$9,Paramètres!$A$1:$I$89,5,0)</f>
        <v>240.09600000000006</v>
      </c>
      <c r="P105" s="14">
        <f t="shared" si="87"/>
        <v>58.460184869094391</v>
      </c>
      <c r="Q105" s="22">
        <f t="shared" si="107"/>
        <v>519.98535531367281</v>
      </c>
      <c r="R105" s="60">
        <f t="shared" si="55"/>
        <v>813.31868864700618</v>
      </c>
      <c r="S105" s="60">
        <f ca="1">AVERAGE(OFFSET($R$3,0,0,'Données projet'!$E$9+1,1))-AVERAGE(OFFSET($H$3,0,0,'Données projet'!$E$9+1,1))</f>
        <v>403.49781966317852</v>
      </c>
      <c r="T105" s="60">
        <f t="shared" si="88"/>
        <v>326.06674572505409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0</v>
      </c>
      <c r="AA105" s="23">
        <f>EXP(-LN(2)/25)*AA104+(1-EXP(-LN(2)/25))/(LN(2)/25)*Calculateur!V105*Calculateur!X105*VLOOKUP('Données projet'!$B$9,Paramètres!$A$1:$I$89,3,0)*0.475*44/12</f>
        <v>0</v>
      </c>
      <c r="AB105" s="23">
        <f>EXP(-LN(2)/2)*AB104+(1-EXP(-LN(2)/2))/(LN(2)/2)*V105*Y105*VLOOKUP('Données projet'!$B$9,Paramètres!$A$1:$I$89,3,0)*0.475*44/12</f>
        <v>0</v>
      </c>
      <c r="AC105" s="24">
        <f t="shared" si="57"/>
        <v>0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IF('Données projet'!$A$62&gt;35,AI104+AH105-AQ104,IF(A105&lt;'Données projet'!$A$62,$AF$205^A105,IF(A105='Données projet'!$A$62,'Données projet'!$B$62,AI104+AH105-AQ104)))</f>
        <v>-1.1368683772161603E-13</v>
      </c>
      <c r="AJ105" s="14">
        <f>AI105*VLOOKUP('Données projet'!$B$10,Paramètres!$A$1:$I$89,3,0)*VLOOKUP('Données projet'!$B$10,Paramètres!$A$1:$I$89,5,0)</f>
        <v>-9.9316821433603781E-14</v>
      </c>
      <c r="AK105" s="14" t="e">
        <f t="shared" si="89"/>
        <v>#NUM!</v>
      </c>
      <c r="AL105" s="22" t="e">
        <f t="shared" si="58"/>
        <v>#NUM!</v>
      </c>
      <c r="AM105" s="60" t="e">
        <f t="shared" si="59"/>
        <v>#NUM!</v>
      </c>
      <c r="AN105" s="60">
        <f ca="1">AVERAGE(OFFSET($AM$3,0,0,'Données projet'!$E$10+1,1))-AVERAGE(OFFSET($H$3,0,0,'Données projet'!$E$10+1,1))</f>
        <v>274.66236526869056</v>
      </c>
      <c r="AO105" s="60">
        <f t="shared" si="90"/>
        <v>256.90876395053073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>
        <f>EXP(-LN(2)/35)*AU104+(1-EXP(-LN(2)/35))/(LN(2)/35)*AQ105*AR105*VLOOKUP('Données projet'!$B$10,Paramètres!$A$1:$I$89,3,0)*0.475*44/12</f>
        <v>0</v>
      </c>
      <c r="AV105" s="23">
        <f>EXP(-LN(2)/25)*AV104+(1-EXP(-LN(2)/25))/(LN(2)/25)*Calculateur!AQ105*Calculateur!AS105*VLOOKUP('Données projet'!$B$10,Paramètres!$A$1:$I$89,3,0)*0.475*44/12</f>
        <v>0</v>
      </c>
      <c r="AW105" s="23">
        <f>EXP(-LN(2)/2)*AW104+(1-EXP(-LN(2)/2))/(LN(2)/2)*AQ105*AT105*VLOOKUP('Données projet'!$B$10,Paramètres!$A$1:$I$89,3,0)*0.475*44/12</f>
        <v>0</v>
      </c>
      <c r="AX105" s="23">
        <f t="shared" si="60"/>
        <v>0</v>
      </c>
      <c r="AY105" s="76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5.2</v>
      </c>
      <c r="BD105" s="13">
        <f>IF('Données projet'!$A$88&gt;35,BD104+BC105-BL104,IF(A105&lt;'Données projet'!$A$88,$BA$205^A105,IF(A105='Données projet'!$A$88,'Données projet'!$B$88,BD104+BC105-BL104)))</f>
        <v>371.4</v>
      </c>
      <c r="BE105" s="14">
        <f>BD105*VLOOKUP('Données projet'!$B$11,Paramètres!$A$1:$I$89,3,0)*VLOOKUP('Données projet'!$B$11,Paramètres!$A$1:$I$89,5,0)</f>
        <v>336.04271999999997</v>
      </c>
      <c r="BF105" s="14">
        <f t="shared" si="91"/>
        <v>78.681791069086316</v>
      </c>
      <c r="BG105" s="22">
        <f t="shared" si="61"/>
        <v>722.31185677865858</v>
      </c>
      <c r="BH105" s="60">
        <f t="shared" si="62"/>
        <v>1015.645190111992</v>
      </c>
      <c r="BI105" s="60">
        <f ca="1">AVERAGE(OFFSET($BH$3,0,0,'Données projet'!$E$11+1,1))-AVERAGE(OFFSET($H$3,0,0,'Données projet'!$E$11+1,1))</f>
        <v>529.25712986118265</v>
      </c>
      <c r="BJ105" s="60">
        <f t="shared" si="92"/>
        <v>278.21741231699929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>
        <f>EXP(-LN(2)/35)*BP104+(1-EXP(-LN(2)/35))/(LN(2)/35)*BL105*BM105*VLOOKUP('Données projet'!$B$11,Paramètres!$A$1:$I$89,3,0)*0.475*44/12</f>
        <v>0</v>
      </c>
      <c r="BQ105" s="23">
        <f>EXP(-LN(2)/25)*BQ104+(1-EXP(-LN(2)/25))/(LN(2)/25)*Calculateur!BL105*Calculateur!BN105*VLOOKUP('Données projet'!$B$11,Paramètres!$A$1:$I$89,3,0)*0.475*44/12</f>
        <v>0</v>
      </c>
      <c r="BR105" s="23">
        <f>EXP(-LN(2)/2)*BR104+(1-EXP(-LN(2)/2))/(LN(2)/2)*BL105*BO105*VLOOKUP('Données projet'!$B$11,Paramètres!$A$1:$I$89,3,0)*0.475*44/12</f>
        <v>0</v>
      </c>
      <c r="BS105" s="24">
        <f t="shared" si="63"/>
        <v>0</v>
      </c>
      <c r="BT105" s="77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5.2</v>
      </c>
      <c r="BY105" s="13">
        <f>IF('Données projet'!$A$114&gt;35,BY104+BX105-CG104,IF(A105&lt;'Données projet'!$A$114,$BV$205^A105,IF(A105='Données projet'!$A$114,'Données projet'!$B$114,BY104+BX105-CG104)))</f>
        <v>371.4</v>
      </c>
      <c r="BZ105" s="14">
        <f>BY105*VLOOKUP('Données projet'!$B$12,Paramètres!$A$1:$I$89,3,0)*VLOOKUP('Données projet'!$B$12,Paramètres!$A$1:$I$89,5,0)</f>
        <v>376.59960000000001</v>
      </c>
      <c r="CA105" s="14">
        <f t="shared" si="93"/>
        <v>87.016077879376709</v>
      </c>
      <c r="CB105" s="22">
        <f t="shared" si="64"/>
        <v>807.46397230658113</v>
      </c>
      <c r="CC105" s="60">
        <f t="shared" si="65"/>
        <v>1100.7973056399144</v>
      </c>
      <c r="CD105" s="60">
        <f ca="1">AVERAGE(OFFSET($CC$3,0,0,'Données projet'!$E$12+1,1))-AVERAGE(OFFSET($H$3,0,0,'Données projet'!$E$12+1,1))</f>
        <v>587.74247372331615</v>
      </c>
      <c r="CE105" s="60">
        <f t="shared" si="94"/>
        <v>306.61893266146666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>
        <f>EXP(-LN(2)/35)*CK104+(1-EXP(-LN(2)/35))/(LN(2)/35)*CG105*CH105*VLOOKUP('Données projet'!$B$12,Paramètres!$A$1:$I$89,3,0)*0.475*44/12</f>
        <v>0</v>
      </c>
      <c r="CL105" s="23">
        <f>EXP(-LN(2)/25)*CL104+(1-EXP(-LN(2)/25))/(LN(2)/25)*Calculateur!CG105*Calculateur!CI105*VLOOKUP('Données projet'!$B$12,Paramètres!$A$1:$I$89,3,0)*0.475*44/12</f>
        <v>0</v>
      </c>
      <c r="CM105" s="23">
        <f>EXP(-LN(2)/2)*CM104+(1-EXP(-LN(2)/2))/(LN(2)/2)*CG105*CJ105*VLOOKUP('Données projet'!$B$12,Paramètres!$A$1:$I$89,3,0)*0.475*44/12</f>
        <v>0</v>
      </c>
      <c r="CN105" s="24">
        <f t="shared" si="66"/>
        <v>0</v>
      </c>
      <c r="CO105" s="77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5.2</v>
      </c>
      <c r="CT105" s="13">
        <f>IF('Données projet'!$A$140&gt;35,CT104+CS105-DB104,IF(A105&lt;'Données projet'!$A$140,$CQ$205^A105,IF(A105='Données projet'!$A$140,'Données projet'!$B$140,CT104+CS105-DB104)))</f>
        <v>371.4</v>
      </c>
      <c r="CU105" s="18">
        <f>CT105*VLOOKUP('Données projet'!$B$13,Paramètres!$A$1:$I$89,3,0)*VLOOKUP('Données projet'!$B$13,Paramètres!$A$1:$I$89,5,0)</f>
        <v>399.77495999999996</v>
      </c>
      <c r="CV105" s="14">
        <f t="shared" si="95"/>
        <v>91.731040320653179</v>
      </c>
      <c r="CW105" s="22">
        <f t="shared" si="67"/>
        <v>856.03961722513759</v>
      </c>
      <c r="CX105" s="60">
        <f t="shared" si="68"/>
        <v>1149.3729505584708</v>
      </c>
      <c r="CY105" s="60">
        <f ca="1">AVERAGE(OFFSET($CX$3,0,0,'Données projet'!$E$13+1,1))-AVERAGE(OFFSET($H$3,0,0,'Données projet'!$E$13+1,1))</f>
        <v>621.10465023992288</v>
      </c>
      <c r="CZ105" s="60">
        <f t="shared" si="96"/>
        <v>322.81767004794284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>
        <f>EXP(-LN(2)/35)*DF104+(1-EXP(-LN(2)/35))/(LN(2)/35)*DB105*DC105*VLOOKUP('Données projet'!$B$13,Paramètres!$A$1:$I$89,3,0)*0.475*44/12</f>
        <v>0</v>
      </c>
      <c r="DG105" s="23">
        <f>EXP(-LN(2)/25)*DG104+(1-EXP(-LN(2)/25))/(LN(2)/25)*Calculateur!DB105*Calculateur!DD105*VLOOKUP('Données projet'!$B$13,Paramètres!$A$1:$I$89,3,0)*0.475*44/12</f>
        <v>0</v>
      </c>
      <c r="DH105" s="23">
        <f>EXP(-LN(2)/2)*DH104+(1-EXP(-LN(2)/2))/(LN(2)/2)*DB105*DE105*VLOOKUP('Données projet'!$B$13,Paramètres!$A$1:$I$89,3,0)*0.475*44/12</f>
        <v>0</v>
      </c>
      <c r="DI105" s="24">
        <f t="shared" si="69"/>
        <v>0</v>
      </c>
      <c r="DJ105" s="77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5.2</v>
      </c>
      <c r="DO105" s="13">
        <f>IF('Données projet'!$A$166&gt;35,DO104+DN105-DW104,IF(A105&lt;'Données projet'!$A$166,$DL$205^A105,IF(A105='Données projet'!$A$166,'Données projet'!$B$166,DO104+DN105-DW104)))</f>
        <v>371.4</v>
      </c>
      <c r="DP105" s="18">
        <f>DO105*VLOOKUP('Données projet'!$B$14,Paramètres!$A$1:$I$89,3,0)*VLOOKUP('Données projet'!$B$14,Paramètres!$A$1:$I$89,5,0)</f>
        <v>359.21807999999999</v>
      </c>
      <c r="DQ105" s="14">
        <f t="shared" si="97"/>
        <v>83.457728297661106</v>
      </c>
      <c r="DR105" s="22">
        <f t="shared" si="70"/>
        <v>770.99369945175965</v>
      </c>
      <c r="DS105" s="60">
        <f t="shared" si="71"/>
        <v>1064.327032785093</v>
      </c>
      <c r="DT105" s="60">
        <f ca="1">AVERAGE(OFFSET($DS$3,0,0,'Données projet'!$E$14+1,1))-AVERAGE(OFFSET($H$3,0,0,'Données projet'!$E$14+1,1))</f>
        <v>562.69380557620775</v>
      </c>
      <c r="DU105" s="60">
        <f t="shared" si="98"/>
        <v>294.45557293177131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>
        <f>EXP(-LN(2)/35)*EA104+(1-EXP(-LN(2)/35))/(LN(2)/35)*DW105*DX105*VLOOKUP('Données projet'!$B$14,Paramètres!$A$1:$I$89,3,0)*0.475*44/12</f>
        <v>0</v>
      </c>
      <c r="EB105" s="23">
        <f>EXP(-LN(2)/25)*EB104+(1-EXP(-LN(2)/25))/(LN(2)/25)*Calculateur!DW105*Calculateur!DY105*VLOOKUP('Données projet'!$B$14,Paramètres!$A$1:$I$89,3,0)*0.475*44/12</f>
        <v>0</v>
      </c>
      <c r="EC105" s="23">
        <f>EXP(-LN(2)/2)*EC104+(1-EXP(-LN(2)/2))/(LN(2)/2)*DW105*DZ105*VLOOKUP('Données projet'!$B$14,Paramètres!$A$1:$I$89,3,0)*0.475*44/12</f>
        <v>0</v>
      </c>
      <c r="ED105" s="24">
        <f t="shared" si="72"/>
        <v>0</v>
      </c>
      <c r="EE105" s="77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1.1368683772161603E-13</v>
      </c>
      <c r="EK105" s="18">
        <f>EJ105*VLOOKUP('Données projet'!$B$15,Paramètres!$A$1:$I$89,3,0)*VLOOKUP('Données projet'!$B$15,Paramètres!$A$1:$I$89,5,0)</f>
        <v>8.8675733422860506E-14</v>
      </c>
      <c r="EL105" s="14">
        <f t="shared" si="99"/>
        <v>1.3509285393066301E-12</v>
      </c>
      <c r="EM105" s="22">
        <f t="shared" si="73"/>
        <v>2.5073107750038623E-12</v>
      </c>
      <c r="EN105" s="60">
        <f t="shared" si="74"/>
        <v>293.33333333333582</v>
      </c>
      <c r="EO105" s="60">
        <f ca="1">AVERAGE(OFFSET($EN$3,0,0,'Données projet'!$E$15+1,1))-AVERAGE(OFFSET($H$3,0,0,'Données projet'!$E$15+1,1))</f>
        <v>292.57482726862594</v>
      </c>
      <c r="EP105" s="60">
        <f t="shared" si="100"/>
        <v>283.48738729114024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>
        <f>EXP(-LN(2)/35)*EV104+(1-EXP(-LN(2)/35))/(LN(2)/35)*ER105*ES105*VLOOKUP('Données projet'!$B$15,Paramètres!$A$1:$I$89,3,0)*0.475*44/12</f>
        <v>0</v>
      </c>
      <c r="EW105" s="23">
        <f>EXP(-LN(2)/25)*EW104+(1-EXP(-LN(2)/25))/(LN(2)/25)*Calculateur!ER105*Calculateur!ET105*VLOOKUP('Données projet'!$B$15,Paramètres!$A$1:$I$89,3,0)*0.475*44/12</f>
        <v>0</v>
      </c>
      <c r="EX105" s="23">
        <f>EXP(-LN(2)/2)*EX104+(1-EXP(-LN(2)/2))/(LN(2)/2)*ER105*EU105*VLOOKUP('Données projet'!$B$15,Paramètres!$A$1:$I$89,3,0)*0.475*44/12</f>
        <v>0</v>
      </c>
      <c r="EY105" s="24">
        <f t="shared" si="75"/>
        <v>0</v>
      </c>
      <c r="EZ105" s="77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0" t="e">
        <f t="shared" si="77"/>
        <v>#N/A</v>
      </c>
      <c r="FJ105" s="60" t="e">
        <f ca="1">AVERAGE(OFFSET($FI$3,0,0,'Données projet'!$E$16+1,1))-AVERAGE(OFFSET($H$3,0,0,'Données projet'!$E$16+1,1))</f>
        <v>#N/A</v>
      </c>
      <c r="FK105" s="60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77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0" t="e">
        <f t="shared" si="80"/>
        <v>#N/A</v>
      </c>
      <c r="GE105" s="60" t="e">
        <f ca="1">AVERAGE(OFFSET($GD$3,0,0,'Données projet'!$E$17+1,1))-AVERAGE(OFFSET($H$3,0,0,'Données projet'!$E$17+1,1))</f>
        <v>#N/A</v>
      </c>
      <c r="GF105" s="60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77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0" t="e">
        <f t="shared" si="83"/>
        <v>#N/A</v>
      </c>
      <c r="GZ105" s="60" t="e">
        <f ca="1">AVERAGE(OFFSET($GY$3,0,0,'Données projet'!$E$18+1,1))-AVERAGE(OFFSET($H$3,0,0,'Données projet'!$E$18+1,1))</f>
        <v>#N/A</v>
      </c>
      <c r="HA105" s="60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25">
      <c r="A106" s="11">
        <f t="shared" si="85"/>
        <v>103</v>
      </c>
      <c r="B106" s="74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2">
        <f t="shared" si="86"/>
        <v>0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0</v>
      </c>
      <c r="H106" s="67">
        <f t="shared" si="56"/>
        <v>256.66666666666669</v>
      </c>
      <c r="I106" s="7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3.3974358974359005</v>
      </c>
      <c r="N106" s="14">
        <f>IF('Données projet'!$A$36&gt;35,N105+M106-V105,IF(A106&lt;'Données projet'!$A$36,$K$205^A106,IF(A106='Données projet'!$A$36,'Données projet'!$B$36,N105+M106-V105)))</f>
        <v>255.70512820512829</v>
      </c>
      <c r="O106" s="14">
        <f>N106*VLOOKUP('Données projet'!$B$9,Paramètres!$A$1:$I$89,3,0)*VLOOKUP('Données projet'!$B$9,Paramètres!$A$1:$I$89,5,0)</f>
        <v>243.32900000000009</v>
      </c>
      <c r="P106" s="14">
        <f t="shared" si="87"/>
        <v>59.155205795451359</v>
      </c>
      <c r="Q106" s="22">
        <f t="shared" si="107"/>
        <v>526.82665842707786</v>
      </c>
      <c r="R106" s="60">
        <f t="shared" si="55"/>
        <v>820.15999176041123</v>
      </c>
      <c r="S106" s="60">
        <f ca="1">AVERAGE(OFFSET($R$3,0,0,'Données projet'!$E$9+1,1))-AVERAGE(OFFSET($H$3,0,0,'Données projet'!$E$9+1,1))</f>
        <v>403.49781966317852</v>
      </c>
      <c r="T106" s="60">
        <f t="shared" si="88"/>
        <v>326.06674572505409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0</v>
      </c>
      <c r="AA106" s="23">
        <f>EXP(-LN(2)/25)*AA105+(1-EXP(-LN(2)/25))/(LN(2)/25)*Calculateur!V106*Calculateur!X106*VLOOKUP('Données projet'!$B$9,Paramètres!$A$1:$I$89,3,0)*0.475*44/12</f>
        <v>0</v>
      </c>
      <c r="AB106" s="23">
        <f>EXP(-LN(2)/2)*AB105+(1-EXP(-LN(2)/2))/(LN(2)/2)*V106*Y106*VLOOKUP('Données projet'!$B$9,Paramètres!$A$1:$I$89,3,0)*0.475*44/12</f>
        <v>0</v>
      </c>
      <c r="AC106" s="24">
        <f t="shared" si="57"/>
        <v>0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IF('Données projet'!$A$62&gt;35,AI105+AH106-AQ105,IF(A106&lt;'Données projet'!$A$62,$AF$205^A106,IF(A106='Données projet'!$A$62,'Données projet'!$B$62,AI105+AH106-AQ105)))</f>
        <v>-1.1368683772161603E-13</v>
      </c>
      <c r="AJ106" s="14">
        <f>AI106*VLOOKUP('Données projet'!$B$10,Paramètres!$A$1:$I$89,3,0)*VLOOKUP('Données projet'!$B$10,Paramètres!$A$1:$I$89,5,0)</f>
        <v>-9.9316821433603781E-14</v>
      </c>
      <c r="AK106" s="14" t="e">
        <f t="shared" si="89"/>
        <v>#NUM!</v>
      </c>
      <c r="AL106" s="22" t="e">
        <f t="shared" si="58"/>
        <v>#NUM!</v>
      </c>
      <c r="AM106" s="60" t="e">
        <f t="shared" si="59"/>
        <v>#NUM!</v>
      </c>
      <c r="AN106" s="60">
        <f ca="1">AVERAGE(OFFSET($AM$3,0,0,'Données projet'!$E$10+1,1))-AVERAGE(OFFSET($H$3,0,0,'Données projet'!$E$10+1,1))</f>
        <v>274.66236526869056</v>
      </c>
      <c r="AO106" s="60">
        <f t="shared" si="90"/>
        <v>256.90876395053073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>
        <f>EXP(-LN(2)/35)*AU105+(1-EXP(-LN(2)/35))/(LN(2)/35)*AQ106*AR106*VLOOKUP('Données projet'!$B$10,Paramètres!$A$1:$I$89,3,0)*0.475*44/12</f>
        <v>0</v>
      </c>
      <c r="AV106" s="23">
        <f>EXP(-LN(2)/25)*AV105+(1-EXP(-LN(2)/25))/(LN(2)/25)*Calculateur!AQ106*Calculateur!AS106*VLOOKUP('Données projet'!$B$10,Paramètres!$A$1:$I$89,3,0)*0.475*44/12</f>
        <v>0</v>
      </c>
      <c r="AW106" s="23">
        <f>EXP(-LN(2)/2)*AW105+(1-EXP(-LN(2)/2))/(LN(2)/2)*AQ106*AT106*VLOOKUP('Données projet'!$B$10,Paramètres!$A$1:$I$89,3,0)*0.475*44/12</f>
        <v>0</v>
      </c>
      <c r="AX106" s="23">
        <f t="shared" si="60"/>
        <v>0</v>
      </c>
      <c r="AY106" s="76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5.2</v>
      </c>
      <c r="BD106" s="13">
        <f>IF('Données projet'!$A$88&gt;35,BD105+BC106-BL105,IF(A106&lt;'Données projet'!$A$88,$BA$205^A106,IF(A106='Données projet'!$A$88,'Données projet'!$B$88,BD105+BC106-BL105)))</f>
        <v>376.59999999999997</v>
      </c>
      <c r="BE106" s="14">
        <f>BD106*VLOOKUP('Données projet'!$B$11,Paramètres!$A$1:$I$89,3,0)*VLOOKUP('Données projet'!$B$11,Paramètres!$A$1:$I$89,5,0)</f>
        <v>340.74767999999995</v>
      </c>
      <c r="BF106" s="14">
        <f t="shared" si="91"/>
        <v>79.654402089206556</v>
      </c>
      <c r="BG106" s="22">
        <f t="shared" si="61"/>
        <v>732.20029297203462</v>
      </c>
      <c r="BH106" s="60">
        <f t="shared" si="62"/>
        <v>1025.533626305368</v>
      </c>
      <c r="BI106" s="60">
        <f ca="1">AVERAGE(OFFSET($BH$3,0,0,'Données projet'!$E$11+1,1))-AVERAGE(OFFSET($H$3,0,0,'Données projet'!$E$11+1,1))</f>
        <v>529.25712986118265</v>
      </c>
      <c r="BJ106" s="60">
        <f t="shared" si="92"/>
        <v>278.21741231699929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>
        <f>EXP(-LN(2)/35)*BP105+(1-EXP(-LN(2)/35))/(LN(2)/35)*BL106*BM106*VLOOKUP('Données projet'!$B$11,Paramètres!$A$1:$I$89,3,0)*0.475*44/12</f>
        <v>0</v>
      </c>
      <c r="BQ106" s="23">
        <f>EXP(-LN(2)/25)*BQ105+(1-EXP(-LN(2)/25))/(LN(2)/25)*Calculateur!BL106*Calculateur!BN106*VLOOKUP('Données projet'!$B$11,Paramètres!$A$1:$I$89,3,0)*0.475*44/12</f>
        <v>0</v>
      </c>
      <c r="BR106" s="23">
        <f>EXP(-LN(2)/2)*BR105+(1-EXP(-LN(2)/2))/(LN(2)/2)*BL106*BO106*VLOOKUP('Données projet'!$B$11,Paramètres!$A$1:$I$89,3,0)*0.475*44/12</f>
        <v>0</v>
      </c>
      <c r="BS106" s="24">
        <f t="shared" si="63"/>
        <v>0</v>
      </c>
      <c r="BT106" s="77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5.2</v>
      </c>
      <c r="BY106" s="13">
        <f>IF('Données projet'!$A$114&gt;35,BY105+BX106-CG105,IF(A106&lt;'Données projet'!$A$114,$BV$205^A106,IF(A106='Données projet'!$A$114,'Données projet'!$B$114,BY105+BX106-CG105)))</f>
        <v>376.59999999999997</v>
      </c>
      <c r="BZ106" s="14">
        <f>BY106*VLOOKUP('Données projet'!$B$12,Paramètres!$A$1:$I$89,3,0)*VLOOKUP('Données projet'!$B$12,Paramètres!$A$1:$I$89,5,0)</f>
        <v>381.87240000000003</v>
      </c>
      <c r="CA106" s="14">
        <f t="shared" si="93"/>
        <v>88.091711709303269</v>
      </c>
      <c r="CB106" s="22">
        <f t="shared" si="64"/>
        <v>818.52082789370331</v>
      </c>
      <c r="CC106" s="60">
        <f t="shared" si="65"/>
        <v>1111.8541612270367</v>
      </c>
      <c r="CD106" s="60">
        <f ca="1">AVERAGE(OFFSET($CC$3,0,0,'Données projet'!$E$12+1,1))-AVERAGE(OFFSET($H$3,0,0,'Données projet'!$E$12+1,1))</f>
        <v>587.74247372331615</v>
      </c>
      <c r="CE106" s="60">
        <f t="shared" si="94"/>
        <v>306.61893266146666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>
        <f>EXP(-LN(2)/35)*CK105+(1-EXP(-LN(2)/35))/(LN(2)/35)*CG106*CH106*VLOOKUP('Données projet'!$B$12,Paramètres!$A$1:$I$89,3,0)*0.475*44/12</f>
        <v>0</v>
      </c>
      <c r="CL106" s="23">
        <f>EXP(-LN(2)/25)*CL105+(1-EXP(-LN(2)/25))/(LN(2)/25)*Calculateur!CG106*Calculateur!CI106*VLOOKUP('Données projet'!$B$12,Paramètres!$A$1:$I$89,3,0)*0.475*44/12</f>
        <v>0</v>
      </c>
      <c r="CM106" s="23">
        <f>EXP(-LN(2)/2)*CM105+(1-EXP(-LN(2)/2))/(LN(2)/2)*CG106*CJ106*VLOOKUP('Données projet'!$B$12,Paramètres!$A$1:$I$89,3,0)*0.475*44/12</f>
        <v>0</v>
      </c>
      <c r="CN106" s="24">
        <f t="shared" si="66"/>
        <v>0</v>
      </c>
      <c r="CO106" s="77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5.2</v>
      </c>
      <c r="CT106" s="13">
        <f>IF('Données projet'!$A$140&gt;35,CT105+CS106-DB105,IF(A106&lt;'Données projet'!$A$140,$CQ$205^A106,IF(A106='Données projet'!$A$140,'Données projet'!$B$140,CT105+CS106-DB105)))</f>
        <v>376.59999999999997</v>
      </c>
      <c r="CU106" s="18">
        <f>CT106*VLOOKUP('Données projet'!$B$13,Paramètres!$A$1:$I$89,3,0)*VLOOKUP('Données projet'!$B$13,Paramètres!$A$1:$I$89,5,0)</f>
        <v>405.37223999999992</v>
      </c>
      <c r="CV106" s="14">
        <f t="shared" si="95"/>
        <v>92.864957323440052</v>
      </c>
      <c r="CW106" s="22">
        <f t="shared" si="67"/>
        <v>867.76311867165805</v>
      </c>
      <c r="CX106" s="60">
        <f t="shared" si="68"/>
        <v>1161.0964520049913</v>
      </c>
      <c r="CY106" s="60">
        <f ca="1">AVERAGE(OFFSET($CX$3,0,0,'Données projet'!$E$13+1,1))-AVERAGE(OFFSET($H$3,0,0,'Données projet'!$E$13+1,1))</f>
        <v>621.10465023992288</v>
      </c>
      <c r="CZ106" s="60">
        <f t="shared" si="96"/>
        <v>322.81767004794284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>
        <f>EXP(-LN(2)/35)*DF105+(1-EXP(-LN(2)/35))/(LN(2)/35)*DB106*DC106*VLOOKUP('Données projet'!$B$13,Paramètres!$A$1:$I$89,3,0)*0.475*44/12</f>
        <v>0</v>
      </c>
      <c r="DG106" s="23">
        <f>EXP(-LN(2)/25)*DG105+(1-EXP(-LN(2)/25))/(LN(2)/25)*Calculateur!DB106*Calculateur!DD106*VLOOKUP('Données projet'!$B$13,Paramètres!$A$1:$I$89,3,0)*0.475*44/12</f>
        <v>0</v>
      </c>
      <c r="DH106" s="23">
        <f>EXP(-LN(2)/2)*DH105+(1-EXP(-LN(2)/2))/(LN(2)/2)*DB106*DE106*VLOOKUP('Données projet'!$B$13,Paramètres!$A$1:$I$89,3,0)*0.475*44/12</f>
        <v>0</v>
      </c>
      <c r="DI106" s="24">
        <f t="shared" si="69"/>
        <v>0</v>
      </c>
      <c r="DJ106" s="77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5.2</v>
      </c>
      <c r="DO106" s="13">
        <f>IF('Données projet'!$A$166&gt;35,DO105+DN106-DW105,IF(A106&lt;'Données projet'!$A$166,$DL$205^A106,IF(A106='Données projet'!$A$166,'Données projet'!$B$166,DO105+DN106-DW105)))</f>
        <v>376.59999999999997</v>
      </c>
      <c r="DP106" s="18">
        <f>DO106*VLOOKUP('Données projet'!$B$14,Paramètres!$A$1:$I$89,3,0)*VLOOKUP('Données projet'!$B$14,Paramètres!$A$1:$I$89,5,0)</f>
        <v>364.24752000000001</v>
      </c>
      <c r="DQ106" s="14">
        <f t="shared" si="97"/>
        <v>84.489376219671925</v>
      </c>
      <c r="DR106" s="22">
        <f t="shared" si="70"/>
        <v>781.55009424926186</v>
      </c>
      <c r="DS106" s="60">
        <f t="shared" si="71"/>
        <v>1074.8834275825952</v>
      </c>
      <c r="DT106" s="60">
        <f ca="1">AVERAGE(OFFSET($DS$3,0,0,'Données projet'!$E$14+1,1))-AVERAGE(OFFSET($H$3,0,0,'Données projet'!$E$14+1,1))</f>
        <v>562.69380557620775</v>
      </c>
      <c r="DU106" s="60">
        <f t="shared" si="98"/>
        <v>294.45557293177131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>
        <f>EXP(-LN(2)/35)*EA105+(1-EXP(-LN(2)/35))/(LN(2)/35)*DW106*DX106*VLOOKUP('Données projet'!$B$14,Paramètres!$A$1:$I$89,3,0)*0.475*44/12</f>
        <v>0</v>
      </c>
      <c r="EB106" s="23">
        <f>EXP(-LN(2)/25)*EB105+(1-EXP(-LN(2)/25))/(LN(2)/25)*Calculateur!DW106*Calculateur!DY106*VLOOKUP('Données projet'!$B$14,Paramètres!$A$1:$I$89,3,0)*0.475*44/12</f>
        <v>0</v>
      </c>
      <c r="EC106" s="23">
        <f>EXP(-LN(2)/2)*EC105+(1-EXP(-LN(2)/2))/(LN(2)/2)*DW106*DZ106*VLOOKUP('Données projet'!$B$14,Paramètres!$A$1:$I$89,3,0)*0.475*44/12</f>
        <v>0</v>
      </c>
      <c r="ED106" s="24">
        <f t="shared" si="72"/>
        <v>0</v>
      </c>
      <c r="EE106" s="77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1.1368683772161603E-13</v>
      </c>
      <c r="EK106" s="18">
        <f>EJ106*VLOOKUP('Données projet'!$B$15,Paramètres!$A$1:$I$89,3,0)*VLOOKUP('Données projet'!$B$15,Paramètres!$A$1:$I$89,5,0)</f>
        <v>8.8675733422860506E-14</v>
      </c>
      <c r="EL106" s="14">
        <f t="shared" si="99"/>
        <v>1.3509285393066301E-12</v>
      </c>
      <c r="EM106" s="22">
        <f t="shared" si="73"/>
        <v>2.5073107750038623E-12</v>
      </c>
      <c r="EN106" s="60">
        <f t="shared" si="74"/>
        <v>293.33333333333582</v>
      </c>
      <c r="EO106" s="60">
        <f ca="1">AVERAGE(OFFSET($EN$3,0,0,'Données projet'!$E$15+1,1))-AVERAGE(OFFSET($H$3,0,0,'Données projet'!$E$15+1,1))</f>
        <v>292.57482726862594</v>
      </c>
      <c r="EP106" s="60">
        <f t="shared" si="100"/>
        <v>283.48738729114024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>
        <f>EXP(-LN(2)/35)*EV105+(1-EXP(-LN(2)/35))/(LN(2)/35)*ER106*ES106*VLOOKUP('Données projet'!$B$15,Paramètres!$A$1:$I$89,3,0)*0.475*44/12</f>
        <v>0</v>
      </c>
      <c r="EW106" s="23">
        <f>EXP(-LN(2)/25)*EW105+(1-EXP(-LN(2)/25))/(LN(2)/25)*Calculateur!ER106*Calculateur!ET106*VLOOKUP('Données projet'!$B$15,Paramètres!$A$1:$I$89,3,0)*0.475*44/12</f>
        <v>0</v>
      </c>
      <c r="EX106" s="23">
        <f>EXP(-LN(2)/2)*EX105+(1-EXP(-LN(2)/2))/(LN(2)/2)*ER106*EU106*VLOOKUP('Données projet'!$B$15,Paramètres!$A$1:$I$89,3,0)*0.475*44/12</f>
        <v>0</v>
      </c>
      <c r="EY106" s="24">
        <f t="shared" si="75"/>
        <v>0</v>
      </c>
      <c r="EZ106" s="77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0" t="e">
        <f t="shared" si="77"/>
        <v>#N/A</v>
      </c>
      <c r="FJ106" s="60" t="e">
        <f ca="1">AVERAGE(OFFSET($FI$3,0,0,'Données projet'!$E$16+1,1))-AVERAGE(OFFSET($H$3,0,0,'Données projet'!$E$16+1,1))</f>
        <v>#N/A</v>
      </c>
      <c r="FK106" s="60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77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0" t="e">
        <f t="shared" si="80"/>
        <v>#N/A</v>
      </c>
      <c r="GE106" s="60" t="e">
        <f ca="1">AVERAGE(OFFSET($GD$3,0,0,'Données projet'!$E$17+1,1))-AVERAGE(OFFSET($H$3,0,0,'Données projet'!$E$17+1,1))</f>
        <v>#N/A</v>
      </c>
      <c r="GF106" s="60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77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0" t="e">
        <f t="shared" si="83"/>
        <v>#N/A</v>
      </c>
      <c r="GZ106" s="60" t="e">
        <f ca="1">AVERAGE(OFFSET($GY$3,0,0,'Données projet'!$E$18+1,1))-AVERAGE(OFFSET($H$3,0,0,'Données projet'!$E$18+1,1))</f>
        <v>#N/A</v>
      </c>
      <c r="HA106" s="60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25">
      <c r="A107" s="11">
        <f t="shared" si="85"/>
        <v>104</v>
      </c>
      <c r="B107" s="74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2">
        <f t="shared" si="86"/>
        <v>0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0</v>
      </c>
      <c r="H107" s="67">
        <f t="shared" si="56"/>
        <v>256.66666666666669</v>
      </c>
      <c r="I107" s="7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3.3974358974359005</v>
      </c>
      <c r="N107" s="14">
        <f>IF('Données projet'!$A$36&gt;35,N106+M107-V106,IF(A107&lt;'Données projet'!$A$36,$K$205^A107,IF(A107='Données projet'!$A$36,'Données projet'!$B$36,N106+M107-V106)))</f>
        <v>259.1025641025642</v>
      </c>
      <c r="O107" s="14">
        <f>N107*VLOOKUP('Données projet'!$B$9,Paramètres!$A$1:$I$89,3,0)*VLOOKUP('Données projet'!$B$9,Paramètres!$A$1:$I$89,5,0)</f>
        <v>246.5620000000001</v>
      </c>
      <c r="P107" s="14">
        <f t="shared" si="87"/>
        <v>59.849152632434773</v>
      </c>
      <c r="Q107" s="22">
        <f t="shared" si="107"/>
        <v>533.6660908348241</v>
      </c>
      <c r="R107" s="60">
        <f t="shared" si="55"/>
        <v>826.99942416815747</v>
      </c>
      <c r="S107" s="60">
        <f ca="1">AVERAGE(OFFSET($R$3,0,0,'Données projet'!$E$9+1,1))-AVERAGE(OFFSET($H$3,0,0,'Données projet'!$E$9+1,1))</f>
        <v>403.49781966317852</v>
      </c>
      <c r="T107" s="60">
        <f t="shared" si="88"/>
        <v>326.06674572505409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0</v>
      </c>
      <c r="AA107" s="23">
        <f>EXP(-LN(2)/25)*AA106+(1-EXP(-LN(2)/25))/(LN(2)/25)*Calculateur!V107*Calculateur!X107*VLOOKUP('Données projet'!$B$9,Paramètres!$A$1:$I$89,3,0)*0.475*44/12</f>
        <v>0</v>
      </c>
      <c r="AB107" s="23">
        <f>EXP(-LN(2)/2)*AB106+(1-EXP(-LN(2)/2))/(LN(2)/2)*V107*Y107*VLOOKUP('Données projet'!$B$9,Paramètres!$A$1:$I$89,3,0)*0.475*44/12</f>
        <v>0</v>
      </c>
      <c r="AC107" s="24">
        <f t="shared" si="57"/>
        <v>0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IF('Données projet'!$A$62&gt;35,AI106+AH107-AQ106,IF(A107&lt;'Données projet'!$A$62,$AF$205^A107,IF(A107='Données projet'!$A$62,'Données projet'!$B$62,AI106+AH107-AQ106)))</f>
        <v>-1.1368683772161603E-13</v>
      </c>
      <c r="AJ107" s="14">
        <f>AI107*VLOOKUP('Données projet'!$B$10,Paramètres!$A$1:$I$89,3,0)*VLOOKUP('Données projet'!$B$10,Paramètres!$A$1:$I$89,5,0)</f>
        <v>-9.9316821433603781E-14</v>
      </c>
      <c r="AK107" s="14" t="e">
        <f t="shared" si="89"/>
        <v>#NUM!</v>
      </c>
      <c r="AL107" s="22" t="e">
        <f t="shared" si="58"/>
        <v>#NUM!</v>
      </c>
      <c r="AM107" s="60" t="e">
        <f t="shared" si="59"/>
        <v>#NUM!</v>
      </c>
      <c r="AN107" s="60">
        <f ca="1">AVERAGE(OFFSET($AM$3,0,0,'Données projet'!$E$10+1,1))-AVERAGE(OFFSET($H$3,0,0,'Données projet'!$E$10+1,1))</f>
        <v>274.66236526869056</v>
      </c>
      <c r="AO107" s="60">
        <f t="shared" si="90"/>
        <v>256.90876395053073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>
        <f>EXP(-LN(2)/35)*AU106+(1-EXP(-LN(2)/35))/(LN(2)/35)*AQ107*AR107*VLOOKUP('Données projet'!$B$10,Paramètres!$A$1:$I$89,3,0)*0.475*44/12</f>
        <v>0</v>
      </c>
      <c r="AV107" s="23">
        <f>EXP(-LN(2)/25)*AV106+(1-EXP(-LN(2)/25))/(LN(2)/25)*Calculateur!AQ107*Calculateur!AS107*VLOOKUP('Données projet'!$B$10,Paramètres!$A$1:$I$89,3,0)*0.475*44/12</f>
        <v>0</v>
      </c>
      <c r="AW107" s="23">
        <f>EXP(-LN(2)/2)*AW106+(1-EXP(-LN(2)/2))/(LN(2)/2)*AQ107*AT107*VLOOKUP('Données projet'!$B$10,Paramètres!$A$1:$I$89,3,0)*0.475*44/12</f>
        <v>0</v>
      </c>
      <c r="AX107" s="23">
        <f t="shared" si="60"/>
        <v>0</v>
      </c>
      <c r="AY107" s="76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5.2</v>
      </c>
      <c r="BD107" s="13">
        <f>IF('Données projet'!$A$88&gt;35,BD106+BC107-BL106,IF(A107&lt;'Données projet'!$A$88,$BA$205^A107,IF(A107='Données projet'!$A$88,'Données projet'!$B$88,BD106+BC107-BL106)))</f>
        <v>381.79999999999995</v>
      </c>
      <c r="BE107" s="14">
        <f>BD107*VLOOKUP('Données projet'!$B$11,Paramètres!$A$1:$I$89,3,0)*VLOOKUP('Données projet'!$B$11,Paramètres!$A$1:$I$89,5,0)</f>
        <v>345.45263999999997</v>
      </c>
      <c r="BF107" s="14">
        <f t="shared" si="91"/>
        <v>80.625451110046569</v>
      </c>
      <c r="BG107" s="22">
        <f t="shared" si="61"/>
        <v>742.08600868333099</v>
      </c>
      <c r="BH107" s="60">
        <f t="shared" si="62"/>
        <v>1035.4193420166644</v>
      </c>
      <c r="BI107" s="60">
        <f ca="1">AVERAGE(OFFSET($BH$3,0,0,'Données projet'!$E$11+1,1))-AVERAGE(OFFSET($H$3,0,0,'Données projet'!$E$11+1,1))</f>
        <v>529.25712986118265</v>
      </c>
      <c r="BJ107" s="60">
        <f t="shared" si="92"/>
        <v>278.21741231699929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>
        <f>EXP(-LN(2)/35)*BP106+(1-EXP(-LN(2)/35))/(LN(2)/35)*BL107*BM107*VLOOKUP('Données projet'!$B$11,Paramètres!$A$1:$I$89,3,0)*0.475*44/12</f>
        <v>0</v>
      </c>
      <c r="BQ107" s="23">
        <f>EXP(-LN(2)/25)*BQ106+(1-EXP(-LN(2)/25))/(LN(2)/25)*Calculateur!BL107*Calculateur!BN107*VLOOKUP('Données projet'!$B$11,Paramètres!$A$1:$I$89,3,0)*0.475*44/12</f>
        <v>0</v>
      </c>
      <c r="BR107" s="23">
        <f>EXP(-LN(2)/2)*BR106+(1-EXP(-LN(2)/2))/(LN(2)/2)*BL107*BO107*VLOOKUP('Données projet'!$B$11,Paramètres!$A$1:$I$89,3,0)*0.475*44/12</f>
        <v>0</v>
      </c>
      <c r="BS107" s="24">
        <f t="shared" si="63"/>
        <v>0</v>
      </c>
      <c r="BT107" s="77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5.2</v>
      </c>
      <c r="BY107" s="13">
        <f>IF('Données projet'!$A$114&gt;35,BY106+BX107-CG106,IF(A107&lt;'Données projet'!$A$114,$BV$205^A107,IF(A107='Données projet'!$A$114,'Données projet'!$B$114,BY106+BX107-CG106)))</f>
        <v>381.79999999999995</v>
      </c>
      <c r="BZ107" s="14">
        <f>BY107*VLOOKUP('Données projet'!$B$12,Paramètres!$A$1:$I$89,3,0)*VLOOKUP('Données projet'!$B$12,Paramètres!$A$1:$I$89,5,0)</f>
        <v>387.14519999999999</v>
      </c>
      <c r="CA107" s="14">
        <f t="shared" si="93"/>
        <v>89.165618086801913</v>
      </c>
      <c r="CB107" s="22">
        <f t="shared" si="64"/>
        <v>829.57467483451319</v>
      </c>
      <c r="CC107" s="60">
        <f t="shared" si="65"/>
        <v>1122.9080081678464</v>
      </c>
      <c r="CD107" s="60">
        <f ca="1">AVERAGE(OFFSET($CC$3,0,0,'Données projet'!$E$12+1,1))-AVERAGE(OFFSET($H$3,0,0,'Données projet'!$E$12+1,1))</f>
        <v>587.74247372331615</v>
      </c>
      <c r="CE107" s="60">
        <f t="shared" si="94"/>
        <v>306.61893266146666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>
        <f>EXP(-LN(2)/35)*CK106+(1-EXP(-LN(2)/35))/(LN(2)/35)*CG107*CH107*VLOOKUP('Données projet'!$B$12,Paramètres!$A$1:$I$89,3,0)*0.475*44/12</f>
        <v>0</v>
      </c>
      <c r="CL107" s="23">
        <f>EXP(-LN(2)/25)*CL106+(1-EXP(-LN(2)/25))/(LN(2)/25)*Calculateur!CG107*Calculateur!CI107*VLOOKUP('Données projet'!$B$12,Paramètres!$A$1:$I$89,3,0)*0.475*44/12</f>
        <v>0</v>
      </c>
      <c r="CM107" s="23">
        <f>EXP(-LN(2)/2)*CM106+(1-EXP(-LN(2)/2))/(LN(2)/2)*CG107*CJ107*VLOOKUP('Données projet'!$B$12,Paramètres!$A$1:$I$89,3,0)*0.475*44/12</f>
        <v>0</v>
      </c>
      <c r="CN107" s="24">
        <f t="shared" si="66"/>
        <v>0</v>
      </c>
      <c r="CO107" s="77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5.2</v>
      </c>
      <c r="CT107" s="13">
        <f>IF('Données projet'!$A$140&gt;35,CT106+CS107-DB106,IF(A107&lt;'Données projet'!$A$140,$CQ$205^A107,IF(A107='Données projet'!$A$140,'Données projet'!$B$140,CT106+CS107-DB106)))</f>
        <v>381.79999999999995</v>
      </c>
      <c r="CU107" s="18">
        <f>CT107*VLOOKUP('Données projet'!$B$13,Paramètres!$A$1:$I$89,3,0)*VLOOKUP('Données projet'!$B$13,Paramètres!$A$1:$I$89,5,0)</f>
        <v>410.96951999999993</v>
      </c>
      <c r="CV107" s="14">
        <f t="shared" si="95"/>
        <v>93.997053271863422</v>
      </c>
      <c r="CW107" s="22">
        <f t="shared" si="67"/>
        <v>879.48344844849532</v>
      </c>
      <c r="CX107" s="60">
        <f t="shared" si="68"/>
        <v>1172.8167817818287</v>
      </c>
      <c r="CY107" s="60">
        <f ca="1">AVERAGE(OFFSET($CX$3,0,0,'Données projet'!$E$13+1,1))-AVERAGE(OFFSET($H$3,0,0,'Données projet'!$E$13+1,1))</f>
        <v>621.10465023992288</v>
      </c>
      <c r="CZ107" s="60">
        <f t="shared" si="96"/>
        <v>322.81767004794284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>
        <f>EXP(-LN(2)/35)*DF106+(1-EXP(-LN(2)/35))/(LN(2)/35)*DB107*DC107*VLOOKUP('Données projet'!$B$13,Paramètres!$A$1:$I$89,3,0)*0.475*44/12</f>
        <v>0</v>
      </c>
      <c r="DG107" s="23">
        <f>EXP(-LN(2)/25)*DG106+(1-EXP(-LN(2)/25))/(LN(2)/25)*Calculateur!DB107*Calculateur!DD107*VLOOKUP('Données projet'!$B$13,Paramètres!$A$1:$I$89,3,0)*0.475*44/12</f>
        <v>0</v>
      </c>
      <c r="DH107" s="23">
        <f>EXP(-LN(2)/2)*DH106+(1-EXP(-LN(2)/2))/(LN(2)/2)*DB107*DE107*VLOOKUP('Données projet'!$B$13,Paramètres!$A$1:$I$89,3,0)*0.475*44/12</f>
        <v>0</v>
      </c>
      <c r="DI107" s="24">
        <f t="shared" si="69"/>
        <v>0</v>
      </c>
      <c r="DJ107" s="77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5.2</v>
      </c>
      <c r="DO107" s="13">
        <f>IF('Données projet'!$A$166&gt;35,DO106+DN107-DW106,IF(A107&lt;'Données projet'!$A$166,$DL$205^A107,IF(A107='Données projet'!$A$166,'Données projet'!$B$166,DO106+DN107-DW106)))</f>
        <v>381.79999999999995</v>
      </c>
      <c r="DP107" s="18">
        <f>DO107*VLOOKUP('Données projet'!$B$14,Paramètres!$A$1:$I$89,3,0)*VLOOKUP('Données projet'!$B$14,Paramètres!$A$1:$I$89,5,0)</f>
        <v>369.27695999999997</v>
      </c>
      <c r="DQ107" s="14">
        <f t="shared" si="97"/>
        <v>85.519367329988739</v>
      </c>
      <c r="DR107" s="22">
        <f t="shared" si="70"/>
        <v>792.10360343306365</v>
      </c>
      <c r="DS107" s="60">
        <f t="shared" si="71"/>
        <v>1085.4369367663969</v>
      </c>
      <c r="DT107" s="60">
        <f ca="1">AVERAGE(OFFSET($DS$3,0,0,'Données projet'!$E$14+1,1))-AVERAGE(OFFSET($H$3,0,0,'Données projet'!$E$14+1,1))</f>
        <v>562.69380557620775</v>
      </c>
      <c r="DU107" s="60">
        <f t="shared" si="98"/>
        <v>294.45557293177131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>
        <f>EXP(-LN(2)/35)*EA106+(1-EXP(-LN(2)/35))/(LN(2)/35)*DW107*DX107*VLOOKUP('Données projet'!$B$14,Paramètres!$A$1:$I$89,3,0)*0.475*44/12</f>
        <v>0</v>
      </c>
      <c r="EB107" s="23">
        <f>EXP(-LN(2)/25)*EB106+(1-EXP(-LN(2)/25))/(LN(2)/25)*Calculateur!DW107*Calculateur!DY107*VLOOKUP('Données projet'!$B$14,Paramètres!$A$1:$I$89,3,0)*0.475*44/12</f>
        <v>0</v>
      </c>
      <c r="EC107" s="23">
        <f>EXP(-LN(2)/2)*EC106+(1-EXP(-LN(2)/2))/(LN(2)/2)*DW107*DZ107*VLOOKUP('Données projet'!$B$14,Paramètres!$A$1:$I$89,3,0)*0.475*44/12</f>
        <v>0</v>
      </c>
      <c r="ED107" s="24">
        <f t="shared" si="72"/>
        <v>0</v>
      </c>
      <c r="EE107" s="77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1.1368683772161603E-13</v>
      </c>
      <c r="EK107" s="18">
        <f>EJ107*VLOOKUP('Données projet'!$B$15,Paramètres!$A$1:$I$89,3,0)*VLOOKUP('Données projet'!$B$15,Paramètres!$A$1:$I$89,5,0)</f>
        <v>8.8675733422860506E-14</v>
      </c>
      <c r="EL107" s="14">
        <f t="shared" si="99"/>
        <v>1.3509285393066301E-12</v>
      </c>
      <c r="EM107" s="22">
        <f t="shared" si="73"/>
        <v>2.5073107750038623E-12</v>
      </c>
      <c r="EN107" s="60">
        <f t="shared" si="74"/>
        <v>293.33333333333582</v>
      </c>
      <c r="EO107" s="60">
        <f ca="1">AVERAGE(OFFSET($EN$3,0,0,'Données projet'!$E$15+1,1))-AVERAGE(OFFSET($H$3,0,0,'Données projet'!$E$15+1,1))</f>
        <v>292.57482726862594</v>
      </c>
      <c r="EP107" s="60">
        <f t="shared" si="100"/>
        <v>283.48738729114024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>
        <f>EXP(-LN(2)/35)*EV106+(1-EXP(-LN(2)/35))/(LN(2)/35)*ER107*ES107*VLOOKUP('Données projet'!$B$15,Paramètres!$A$1:$I$89,3,0)*0.475*44/12</f>
        <v>0</v>
      </c>
      <c r="EW107" s="23">
        <f>EXP(-LN(2)/25)*EW106+(1-EXP(-LN(2)/25))/(LN(2)/25)*Calculateur!ER107*Calculateur!ET107*VLOOKUP('Données projet'!$B$15,Paramètres!$A$1:$I$89,3,0)*0.475*44/12</f>
        <v>0</v>
      </c>
      <c r="EX107" s="23">
        <f>EXP(-LN(2)/2)*EX106+(1-EXP(-LN(2)/2))/(LN(2)/2)*ER107*EU107*VLOOKUP('Données projet'!$B$15,Paramètres!$A$1:$I$89,3,0)*0.475*44/12</f>
        <v>0</v>
      </c>
      <c r="EY107" s="24">
        <f t="shared" si="75"/>
        <v>0</v>
      </c>
      <c r="EZ107" s="77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0" t="e">
        <f t="shared" si="77"/>
        <v>#N/A</v>
      </c>
      <c r="FJ107" s="60" t="e">
        <f ca="1">AVERAGE(OFFSET($FI$3,0,0,'Données projet'!$E$16+1,1))-AVERAGE(OFFSET($H$3,0,0,'Données projet'!$E$16+1,1))</f>
        <v>#N/A</v>
      </c>
      <c r="FK107" s="60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77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0" t="e">
        <f t="shared" si="80"/>
        <v>#N/A</v>
      </c>
      <c r="GE107" s="60" t="e">
        <f ca="1">AVERAGE(OFFSET($GD$3,0,0,'Données projet'!$E$17+1,1))-AVERAGE(OFFSET($H$3,0,0,'Données projet'!$E$17+1,1))</f>
        <v>#N/A</v>
      </c>
      <c r="GF107" s="60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77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0" t="e">
        <f t="shared" si="83"/>
        <v>#N/A</v>
      </c>
      <c r="GZ107" s="60" t="e">
        <f ca="1">AVERAGE(OFFSET($GY$3,0,0,'Données projet'!$E$18+1,1))-AVERAGE(OFFSET($H$3,0,0,'Données projet'!$E$18+1,1))</f>
        <v>#N/A</v>
      </c>
      <c r="HA107" s="60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25">
      <c r="A108" s="11">
        <f t="shared" si="85"/>
        <v>105</v>
      </c>
      <c r="B108" s="74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2">
        <f t="shared" si="86"/>
        <v>0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0</v>
      </c>
      <c r="H108" s="67">
        <f t="shared" si="56"/>
        <v>256.66666666666669</v>
      </c>
      <c r="I108" s="7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3.3974358974359005</v>
      </c>
      <c r="N108" s="14">
        <f>IF('Données projet'!$A$36&gt;35,N107+M108-V107,IF(A108&lt;'Données projet'!$A$36,$K$205^A108,IF(A108='Données projet'!$A$36,'Données projet'!$B$36,N107+M108-V107)))</f>
        <v>262.50000000000011</v>
      </c>
      <c r="O108" s="14">
        <f>N108*VLOOKUP('Données projet'!$B$9,Paramètres!$A$1:$I$89,3,0)*VLOOKUP('Données projet'!$B$9,Paramètres!$A$1:$I$89,5,0)</f>
        <v>249.7950000000001</v>
      </c>
      <c r="P108" s="14">
        <f t="shared" si="87"/>
        <v>60.542041092116655</v>
      </c>
      <c r="Q108" s="22">
        <f t="shared" si="107"/>
        <v>540.50367990210327</v>
      </c>
      <c r="R108" s="60">
        <f t="shared" si="55"/>
        <v>833.83701323543664</v>
      </c>
      <c r="S108" s="60">
        <f ca="1">AVERAGE(OFFSET($R$3,0,0,'Données projet'!$E$9+1,1))-AVERAGE(OFFSET($H$3,0,0,'Données projet'!$E$9+1,1))</f>
        <v>403.49781966317852</v>
      </c>
      <c r="T108" s="60">
        <f t="shared" si="88"/>
        <v>326.06674572505409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0</v>
      </c>
      <c r="AA108" s="23">
        <f>EXP(-LN(2)/25)*AA107+(1-EXP(-LN(2)/25))/(LN(2)/25)*Calculateur!V108*Calculateur!X108*VLOOKUP('Données projet'!$B$9,Paramètres!$A$1:$I$89,3,0)*0.475*44/12</f>
        <v>0</v>
      </c>
      <c r="AB108" s="23">
        <f>EXP(-LN(2)/2)*AB107+(1-EXP(-LN(2)/2))/(LN(2)/2)*V108*Y108*VLOOKUP('Données projet'!$B$9,Paramètres!$A$1:$I$89,3,0)*0.475*44/12</f>
        <v>0</v>
      </c>
      <c r="AC108" s="24">
        <f t="shared" si="57"/>
        <v>0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IF('Données projet'!$A$62&gt;35,AI107+AH108-AQ107,IF(A108&lt;'Données projet'!$A$62,$AF$205^A108,IF(A108='Données projet'!$A$62,'Données projet'!$B$62,AI107+AH108-AQ107)))</f>
        <v>-1.1368683772161603E-13</v>
      </c>
      <c r="AJ108" s="14">
        <f>AI108*VLOOKUP('Données projet'!$B$10,Paramètres!$A$1:$I$89,3,0)*VLOOKUP('Données projet'!$B$10,Paramètres!$A$1:$I$89,5,0)</f>
        <v>-9.9316821433603781E-14</v>
      </c>
      <c r="AK108" s="14" t="e">
        <f t="shared" si="89"/>
        <v>#NUM!</v>
      </c>
      <c r="AL108" s="22" t="e">
        <f t="shared" si="58"/>
        <v>#NUM!</v>
      </c>
      <c r="AM108" s="60" t="e">
        <f t="shared" si="59"/>
        <v>#NUM!</v>
      </c>
      <c r="AN108" s="60">
        <f ca="1">AVERAGE(OFFSET($AM$3,0,0,'Données projet'!$E$10+1,1))-AVERAGE(OFFSET($H$3,0,0,'Données projet'!$E$10+1,1))</f>
        <v>274.66236526869056</v>
      </c>
      <c r="AO108" s="60">
        <f t="shared" si="90"/>
        <v>256.90876395053073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>
        <f>EXP(-LN(2)/35)*AU107+(1-EXP(-LN(2)/35))/(LN(2)/35)*AQ108*AR108*VLOOKUP('Données projet'!$B$10,Paramètres!$A$1:$I$89,3,0)*0.475*44/12</f>
        <v>0</v>
      </c>
      <c r="AV108" s="23">
        <f>EXP(-LN(2)/25)*AV107+(1-EXP(-LN(2)/25))/(LN(2)/25)*Calculateur!AQ108*Calculateur!AS108*VLOOKUP('Données projet'!$B$10,Paramètres!$A$1:$I$89,3,0)*0.475*44/12</f>
        <v>0</v>
      </c>
      <c r="AW108" s="23">
        <f>EXP(-LN(2)/2)*AW107+(1-EXP(-LN(2)/2))/(LN(2)/2)*AQ108*AT108*VLOOKUP('Données projet'!$B$10,Paramètres!$A$1:$I$89,3,0)*0.475*44/12</f>
        <v>0</v>
      </c>
      <c r="AX108" s="23">
        <f t="shared" si="60"/>
        <v>0</v>
      </c>
      <c r="AY108" s="76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5.2</v>
      </c>
      <c r="BD108" s="13">
        <f>IF('Données projet'!$A$88&gt;35,BD107+BC108-BL107,IF(A108&lt;'Données projet'!$A$88,$BA$205^A108,IF(A108='Données projet'!$A$88,'Données projet'!$B$88,BD107+BC108-BL107)))</f>
        <v>386.99999999999994</v>
      </c>
      <c r="BE108" s="14">
        <f>BD108*VLOOKUP('Données projet'!$B$11,Paramètres!$A$1:$I$89,3,0)*VLOOKUP('Données projet'!$B$11,Paramètres!$A$1:$I$89,5,0)</f>
        <v>350.15759999999995</v>
      </c>
      <c r="BF108" s="14">
        <f t="shared" si="91"/>
        <v>81.59496186451068</v>
      </c>
      <c r="BG108" s="22">
        <f t="shared" si="61"/>
        <v>751.96904524735601</v>
      </c>
      <c r="BH108" s="60">
        <f t="shared" si="62"/>
        <v>1045.3023785806893</v>
      </c>
      <c r="BI108" s="60">
        <f ca="1">AVERAGE(OFFSET($BH$3,0,0,'Données projet'!$E$11+1,1))-AVERAGE(OFFSET($H$3,0,0,'Données projet'!$E$11+1,1))</f>
        <v>529.25712986118265</v>
      </c>
      <c r="BJ108" s="60">
        <f t="shared" si="92"/>
        <v>278.21741231699929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>
        <f>EXP(-LN(2)/35)*BP107+(1-EXP(-LN(2)/35))/(LN(2)/35)*BL108*BM108*VLOOKUP('Données projet'!$B$11,Paramètres!$A$1:$I$89,3,0)*0.475*44/12</f>
        <v>0</v>
      </c>
      <c r="BQ108" s="23">
        <f>EXP(-LN(2)/25)*BQ107+(1-EXP(-LN(2)/25))/(LN(2)/25)*Calculateur!BL108*Calculateur!BN108*VLOOKUP('Données projet'!$B$11,Paramètres!$A$1:$I$89,3,0)*0.475*44/12</f>
        <v>0</v>
      </c>
      <c r="BR108" s="23">
        <f>EXP(-LN(2)/2)*BR107+(1-EXP(-LN(2)/2))/(LN(2)/2)*BL108*BO108*VLOOKUP('Données projet'!$B$11,Paramètres!$A$1:$I$89,3,0)*0.475*44/12</f>
        <v>0</v>
      </c>
      <c r="BS108" s="24">
        <f t="shared" si="63"/>
        <v>0</v>
      </c>
      <c r="BT108" s="77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5.2</v>
      </c>
      <c r="BY108" s="13">
        <f>IF('Données projet'!$A$114&gt;35,BY107+BX108-CG107,IF(A108&lt;'Données projet'!$A$114,$BV$205^A108,IF(A108='Données projet'!$A$114,'Données projet'!$B$114,BY107+BX108-CG107)))</f>
        <v>386.99999999999994</v>
      </c>
      <c r="BZ108" s="14">
        <f>BY108*VLOOKUP('Données projet'!$B$12,Paramètres!$A$1:$I$89,3,0)*VLOOKUP('Données projet'!$B$12,Paramètres!$A$1:$I$89,5,0)</f>
        <v>392.41800000000001</v>
      </c>
      <c r="CA108" s="14">
        <f t="shared" si="93"/>
        <v>90.237823258660114</v>
      </c>
      <c r="CB108" s="22">
        <f t="shared" si="64"/>
        <v>840.62555884216636</v>
      </c>
      <c r="CC108" s="60">
        <f t="shared" si="65"/>
        <v>1133.9588921754996</v>
      </c>
      <c r="CD108" s="60">
        <f ca="1">AVERAGE(OFFSET($CC$3,0,0,'Données projet'!$E$12+1,1))-AVERAGE(OFFSET($H$3,0,0,'Données projet'!$E$12+1,1))</f>
        <v>587.74247372331615</v>
      </c>
      <c r="CE108" s="60">
        <f t="shared" si="94"/>
        <v>306.61893266146666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>
        <f>EXP(-LN(2)/35)*CK107+(1-EXP(-LN(2)/35))/(LN(2)/35)*CG108*CH108*VLOOKUP('Données projet'!$B$12,Paramètres!$A$1:$I$89,3,0)*0.475*44/12</f>
        <v>0</v>
      </c>
      <c r="CL108" s="23">
        <f>EXP(-LN(2)/25)*CL107+(1-EXP(-LN(2)/25))/(LN(2)/25)*Calculateur!CG108*Calculateur!CI108*VLOOKUP('Données projet'!$B$12,Paramètres!$A$1:$I$89,3,0)*0.475*44/12</f>
        <v>0</v>
      </c>
      <c r="CM108" s="23">
        <f>EXP(-LN(2)/2)*CM107+(1-EXP(-LN(2)/2))/(LN(2)/2)*CG108*CJ108*VLOOKUP('Données projet'!$B$12,Paramètres!$A$1:$I$89,3,0)*0.475*44/12</f>
        <v>0</v>
      </c>
      <c r="CN108" s="24">
        <f t="shared" si="66"/>
        <v>0</v>
      </c>
      <c r="CO108" s="77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5.2</v>
      </c>
      <c r="CT108" s="13">
        <f>IF('Données projet'!$A$140&gt;35,CT107+CS108-DB107,IF(A108&lt;'Données projet'!$A$140,$CQ$205^A108,IF(A108='Données projet'!$A$140,'Données projet'!$B$140,CT107+CS108-DB107)))</f>
        <v>386.99999999999994</v>
      </c>
      <c r="CU108" s="18">
        <f>CT108*VLOOKUP('Données projet'!$B$13,Paramètres!$A$1:$I$89,3,0)*VLOOKUP('Données projet'!$B$13,Paramètres!$A$1:$I$89,5,0)</f>
        <v>416.56679999999989</v>
      </c>
      <c r="CV108" s="14">
        <f t="shared" si="95"/>
        <v>95.127355834891816</v>
      </c>
      <c r="CW108" s="22">
        <f t="shared" si="67"/>
        <v>891.20065474576961</v>
      </c>
      <c r="CX108" s="60">
        <f t="shared" si="68"/>
        <v>1184.533988079103</v>
      </c>
      <c r="CY108" s="60">
        <f ca="1">AVERAGE(OFFSET($CX$3,0,0,'Données projet'!$E$13+1,1))-AVERAGE(OFFSET($H$3,0,0,'Données projet'!$E$13+1,1))</f>
        <v>621.10465023992288</v>
      </c>
      <c r="CZ108" s="60">
        <f t="shared" si="96"/>
        <v>322.81767004794284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>
        <f>EXP(-LN(2)/35)*DF107+(1-EXP(-LN(2)/35))/(LN(2)/35)*DB108*DC108*VLOOKUP('Données projet'!$B$13,Paramètres!$A$1:$I$89,3,0)*0.475*44/12</f>
        <v>0</v>
      </c>
      <c r="DG108" s="23">
        <f>EXP(-LN(2)/25)*DG107+(1-EXP(-LN(2)/25))/(LN(2)/25)*Calculateur!DB108*Calculateur!DD108*VLOOKUP('Données projet'!$B$13,Paramètres!$A$1:$I$89,3,0)*0.475*44/12</f>
        <v>0</v>
      </c>
      <c r="DH108" s="23">
        <f>EXP(-LN(2)/2)*DH107+(1-EXP(-LN(2)/2))/(LN(2)/2)*DB108*DE108*VLOOKUP('Données projet'!$B$13,Paramètres!$A$1:$I$89,3,0)*0.475*44/12</f>
        <v>0</v>
      </c>
      <c r="DI108" s="24">
        <f t="shared" si="69"/>
        <v>0</v>
      </c>
      <c r="DJ108" s="77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5.2</v>
      </c>
      <c r="DO108" s="13">
        <f>IF('Données projet'!$A$166&gt;35,DO107+DN108-DW107,IF(A108&lt;'Données projet'!$A$166,$DL$205^A108,IF(A108='Données projet'!$A$166,'Données projet'!$B$166,DO107+DN108-DW107)))</f>
        <v>386.99999999999994</v>
      </c>
      <c r="DP108" s="18">
        <f>DO108*VLOOKUP('Données projet'!$B$14,Paramètres!$A$1:$I$89,3,0)*VLOOKUP('Données projet'!$B$14,Paramètres!$A$1:$I$89,5,0)</f>
        <v>374.30639999999994</v>
      </c>
      <c r="DQ108" s="14">
        <f t="shared" si="97"/>
        <v>86.547726802089201</v>
      </c>
      <c r="DR108" s="22">
        <f t="shared" si="70"/>
        <v>802.65427084697183</v>
      </c>
      <c r="DS108" s="60">
        <f t="shared" si="71"/>
        <v>1095.9876041803052</v>
      </c>
      <c r="DT108" s="60">
        <f ca="1">AVERAGE(OFFSET($DS$3,0,0,'Données projet'!$E$14+1,1))-AVERAGE(OFFSET($H$3,0,0,'Données projet'!$E$14+1,1))</f>
        <v>562.69380557620775</v>
      </c>
      <c r="DU108" s="60">
        <f t="shared" si="98"/>
        <v>294.45557293177131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>
        <f>EXP(-LN(2)/35)*EA107+(1-EXP(-LN(2)/35))/(LN(2)/35)*DW108*DX108*VLOOKUP('Données projet'!$B$14,Paramètres!$A$1:$I$89,3,0)*0.475*44/12</f>
        <v>0</v>
      </c>
      <c r="EB108" s="23">
        <f>EXP(-LN(2)/25)*EB107+(1-EXP(-LN(2)/25))/(LN(2)/25)*Calculateur!DW108*Calculateur!DY108*VLOOKUP('Données projet'!$B$14,Paramètres!$A$1:$I$89,3,0)*0.475*44/12</f>
        <v>0</v>
      </c>
      <c r="EC108" s="23">
        <f>EXP(-LN(2)/2)*EC107+(1-EXP(-LN(2)/2))/(LN(2)/2)*DW108*DZ108*VLOOKUP('Données projet'!$B$14,Paramètres!$A$1:$I$89,3,0)*0.475*44/12</f>
        <v>0</v>
      </c>
      <c r="ED108" s="24">
        <f t="shared" si="72"/>
        <v>0</v>
      </c>
      <c r="EE108" s="77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1.1368683772161603E-13</v>
      </c>
      <c r="EK108" s="18">
        <f>EJ108*VLOOKUP('Données projet'!$B$15,Paramètres!$A$1:$I$89,3,0)*VLOOKUP('Données projet'!$B$15,Paramètres!$A$1:$I$89,5,0)</f>
        <v>8.8675733422860506E-14</v>
      </c>
      <c r="EL108" s="14">
        <f t="shared" si="99"/>
        <v>1.3509285393066301E-12</v>
      </c>
      <c r="EM108" s="22">
        <f t="shared" si="73"/>
        <v>2.5073107750038623E-12</v>
      </c>
      <c r="EN108" s="60">
        <f t="shared" si="74"/>
        <v>293.33333333333582</v>
      </c>
      <c r="EO108" s="60">
        <f ca="1">AVERAGE(OFFSET($EN$3,0,0,'Données projet'!$E$15+1,1))-AVERAGE(OFFSET($H$3,0,0,'Données projet'!$E$15+1,1))</f>
        <v>292.57482726862594</v>
      </c>
      <c r="EP108" s="60">
        <f t="shared" si="100"/>
        <v>283.48738729114024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>
        <f>EXP(-LN(2)/35)*EV107+(1-EXP(-LN(2)/35))/(LN(2)/35)*ER108*ES108*VLOOKUP('Données projet'!$B$15,Paramètres!$A$1:$I$89,3,0)*0.475*44/12</f>
        <v>0</v>
      </c>
      <c r="EW108" s="23">
        <f>EXP(-LN(2)/25)*EW107+(1-EXP(-LN(2)/25))/(LN(2)/25)*Calculateur!ER108*Calculateur!ET108*VLOOKUP('Données projet'!$B$15,Paramètres!$A$1:$I$89,3,0)*0.475*44/12</f>
        <v>0</v>
      </c>
      <c r="EX108" s="23">
        <f>EXP(-LN(2)/2)*EX107+(1-EXP(-LN(2)/2))/(LN(2)/2)*ER108*EU108*VLOOKUP('Données projet'!$B$15,Paramètres!$A$1:$I$89,3,0)*0.475*44/12</f>
        <v>0</v>
      </c>
      <c r="EY108" s="24">
        <f t="shared" si="75"/>
        <v>0</v>
      </c>
      <c r="EZ108" s="77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0" t="e">
        <f t="shared" si="77"/>
        <v>#N/A</v>
      </c>
      <c r="FJ108" s="60" t="e">
        <f ca="1">AVERAGE(OFFSET($FI$3,0,0,'Données projet'!$E$16+1,1))-AVERAGE(OFFSET($H$3,0,0,'Données projet'!$E$16+1,1))</f>
        <v>#N/A</v>
      </c>
      <c r="FK108" s="60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77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0" t="e">
        <f t="shared" si="80"/>
        <v>#N/A</v>
      </c>
      <c r="GE108" s="60" t="e">
        <f ca="1">AVERAGE(OFFSET($GD$3,0,0,'Données projet'!$E$17+1,1))-AVERAGE(OFFSET($H$3,0,0,'Données projet'!$E$17+1,1))</f>
        <v>#N/A</v>
      </c>
      <c r="GF108" s="60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77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0" t="e">
        <f t="shared" si="83"/>
        <v>#N/A</v>
      </c>
      <c r="GZ108" s="60" t="e">
        <f ca="1">AVERAGE(OFFSET($GY$3,0,0,'Données projet'!$E$18+1,1))-AVERAGE(OFFSET($H$3,0,0,'Données projet'!$E$18+1,1))</f>
        <v>#N/A</v>
      </c>
      <c r="HA108" s="60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25">
      <c r="A109" s="11">
        <f t="shared" si="85"/>
        <v>106</v>
      </c>
      <c r="B109" s="74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2">
        <f t="shared" si="86"/>
        <v>0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0</v>
      </c>
      <c r="H109" s="67">
        <f t="shared" si="56"/>
        <v>256.66666666666669</v>
      </c>
      <c r="I109" s="7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3.3974358974359005</v>
      </c>
      <c r="N109" s="14">
        <f>IF('Données projet'!$A$36&gt;35,N108+M109-V108,IF(A109&lt;'Données projet'!$A$36,$K$205^A109,IF(A109='Données projet'!$A$36,'Données projet'!$B$36,N108+M109-V108)))</f>
        <v>265.89743589743603</v>
      </c>
      <c r="O109" s="14">
        <f>N109*VLOOKUP('Données projet'!$B$9,Paramètres!$A$1:$I$89,3,0)*VLOOKUP('Données projet'!$B$9,Paramètres!$A$1:$I$89,5,0)</f>
        <v>253.02800000000013</v>
      </c>
      <c r="P109" s="14">
        <f t="shared" si="87"/>
        <v>61.233886456476277</v>
      </c>
      <c r="Q109" s="22">
        <f t="shared" si="107"/>
        <v>547.33945224502975</v>
      </c>
      <c r="R109" s="60">
        <f t="shared" si="55"/>
        <v>840.67278557836312</v>
      </c>
      <c r="S109" s="60">
        <f ca="1">AVERAGE(OFFSET($R$3,0,0,'Données projet'!$E$9+1,1))-AVERAGE(OFFSET($H$3,0,0,'Données projet'!$E$9+1,1))</f>
        <v>403.49781966317852</v>
      </c>
      <c r="T109" s="60">
        <f t="shared" si="88"/>
        <v>326.06674572505409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0</v>
      </c>
      <c r="AA109" s="23">
        <f>EXP(-LN(2)/25)*AA108+(1-EXP(-LN(2)/25))/(LN(2)/25)*Calculateur!V109*Calculateur!X109*VLOOKUP('Données projet'!$B$9,Paramètres!$A$1:$I$89,3,0)*0.475*44/12</f>
        <v>0</v>
      </c>
      <c r="AB109" s="23">
        <f>EXP(-LN(2)/2)*AB108+(1-EXP(-LN(2)/2))/(LN(2)/2)*V109*Y109*VLOOKUP('Données projet'!$B$9,Paramètres!$A$1:$I$89,3,0)*0.475*44/12</f>
        <v>0</v>
      </c>
      <c r="AC109" s="24">
        <f t="shared" si="57"/>
        <v>0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-1.1368683772161603E-13</v>
      </c>
      <c r="AJ109" s="14">
        <f>AI109*VLOOKUP('Données projet'!$B$10,Paramètres!$A$1:$I$89,3,0)*VLOOKUP('Données projet'!$B$10,Paramètres!$A$1:$I$89,5,0)</f>
        <v>-9.9316821433603781E-14</v>
      </c>
      <c r="AK109" s="14" t="e">
        <f t="shared" si="89"/>
        <v>#NUM!</v>
      </c>
      <c r="AL109" s="22" t="e">
        <f t="shared" si="58"/>
        <v>#NUM!</v>
      </c>
      <c r="AM109" s="60" t="e">
        <f t="shared" si="59"/>
        <v>#NUM!</v>
      </c>
      <c r="AN109" s="60">
        <f ca="1">AVERAGE(OFFSET($AM$3,0,0,'Données projet'!$E$10+1,1))-AVERAGE(OFFSET($H$3,0,0,'Données projet'!$E$10+1,1))</f>
        <v>274.66236526869056</v>
      </c>
      <c r="AO109" s="60">
        <f t="shared" si="90"/>
        <v>256.90876395053073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>
        <f>EXP(-LN(2)/35)*AU108+(1-EXP(-LN(2)/35))/(LN(2)/35)*AQ109*AR109*VLOOKUP('Données projet'!$B$10,Paramètres!$A$1:$I$89,3,0)*0.475*44/12</f>
        <v>0</v>
      </c>
      <c r="AV109" s="23">
        <f>EXP(-LN(2)/25)*AV108+(1-EXP(-LN(2)/25))/(LN(2)/25)*Calculateur!AQ109*Calculateur!AS109*VLOOKUP('Données projet'!$B$10,Paramètres!$A$1:$I$89,3,0)*0.475*44/12</f>
        <v>0</v>
      </c>
      <c r="AW109" s="23">
        <f>EXP(-LN(2)/2)*AW108+(1-EXP(-LN(2)/2))/(LN(2)/2)*AQ109*AT109*VLOOKUP('Données projet'!$B$10,Paramètres!$A$1:$I$89,3,0)*0.475*44/12</f>
        <v>0</v>
      </c>
      <c r="AX109" s="23">
        <f t="shared" si="60"/>
        <v>0</v>
      </c>
      <c r="AY109" s="76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5.2</v>
      </c>
      <c r="BD109" s="13">
        <f>IF('Données projet'!$A$88&gt;35,BD108+BC109-BL108,IF(A109&lt;'Données projet'!$A$88,$BA$205^A109,IF(A109='Données projet'!$A$88,'Données projet'!$B$88,BD108+BC109-BL108)))</f>
        <v>392.19999999999993</v>
      </c>
      <c r="BE109" s="14">
        <f>BD109*VLOOKUP('Données projet'!$B$11,Paramètres!$A$1:$I$89,3,0)*VLOOKUP('Données projet'!$B$11,Paramètres!$A$1:$I$89,5,0)</f>
        <v>354.86255999999992</v>
      </c>
      <c r="BF109" s="14">
        <f t="shared" si="91"/>
        <v>82.56295741106787</v>
      </c>
      <c r="BG109" s="22">
        <f t="shared" si="61"/>
        <v>761.84944282427648</v>
      </c>
      <c r="BH109" s="60">
        <f t="shared" si="62"/>
        <v>1055.1827761576099</v>
      </c>
      <c r="BI109" s="60">
        <f ca="1">AVERAGE(OFFSET($BH$3,0,0,'Données projet'!$E$11+1,1))-AVERAGE(OFFSET($H$3,0,0,'Données projet'!$E$11+1,1))</f>
        <v>529.25712986118265</v>
      </c>
      <c r="BJ109" s="60">
        <f t="shared" si="92"/>
        <v>278.21741231699929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>
        <f>EXP(-LN(2)/35)*BP108+(1-EXP(-LN(2)/35))/(LN(2)/35)*BL109*BM109*VLOOKUP('Données projet'!$B$11,Paramètres!$A$1:$I$89,3,0)*0.475*44/12</f>
        <v>0</v>
      </c>
      <c r="BQ109" s="23">
        <f>EXP(-LN(2)/25)*BQ108+(1-EXP(-LN(2)/25))/(LN(2)/25)*Calculateur!BL109*Calculateur!BN109*VLOOKUP('Données projet'!$B$11,Paramètres!$A$1:$I$89,3,0)*0.475*44/12</f>
        <v>0</v>
      </c>
      <c r="BR109" s="23">
        <f>EXP(-LN(2)/2)*BR108+(1-EXP(-LN(2)/2))/(LN(2)/2)*BL109*BO109*VLOOKUP('Données projet'!$B$11,Paramètres!$A$1:$I$89,3,0)*0.475*44/12</f>
        <v>0</v>
      </c>
      <c r="BS109" s="24">
        <f t="shared" si="63"/>
        <v>0</v>
      </c>
      <c r="BT109" s="77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5.2</v>
      </c>
      <c r="BY109" s="13">
        <f>IF('Données projet'!$A$114&gt;35,BY108+BX109-CG108,IF(A109&lt;'Données projet'!$A$114,$BV$205^A109,IF(A109='Données projet'!$A$114,'Données projet'!$B$114,BY108+BX109-CG108)))</f>
        <v>392.19999999999993</v>
      </c>
      <c r="BZ109" s="14">
        <f>BY109*VLOOKUP('Données projet'!$B$12,Paramètres!$A$1:$I$89,3,0)*VLOOKUP('Données projet'!$B$12,Paramètres!$A$1:$I$89,5,0)</f>
        <v>397.69079999999997</v>
      </c>
      <c r="CA109" s="14">
        <f t="shared" si="93"/>
        <v>91.308352725791323</v>
      </c>
      <c r="CB109" s="22">
        <f t="shared" si="64"/>
        <v>851.67352433075314</v>
      </c>
      <c r="CC109" s="60">
        <f t="shared" si="65"/>
        <v>1145.0068576640865</v>
      </c>
      <c r="CD109" s="60">
        <f ca="1">AVERAGE(OFFSET($CC$3,0,0,'Données projet'!$E$12+1,1))-AVERAGE(OFFSET($H$3,0,0,'Données projet'!$E$12+1,1))</f>
        <v>587.74247372331615</v>
      </c>
      <c r="CE109" s="60">
        <f t="shared" si="94"/>
        <v>306.61893266146666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>
        <f>EXP(-LN(2)/35)*CK108+(1-EXP(-LN(2)/35))/(LN(2)/35)*CG109*CH109*VLOOKUP('Données projet'!$B$12,Paramètres!$A$1:$I$89,3,0)*0.475*44/12</f>
        <v>0</v>
      </c>
      <c r="CL109" s="23">
        <f>EXP(-LN(2)/25)*CL108+(1-EXP(-LN(2)/25))/(LN(2)/25)*Calculateur!CG109*Calculateur!CI109*VLOOKUP('Données projet'!$B$12,Paramètres!$A$1:$I$89,3,0)*0.475*44/12</f>
        <v>0</v>
      </c>
      <c r="CM109" s="23">
        <f>EXP(-LN(2)/2)*CM108+(1-EXP(-LN(2)/2))/(LN(2)/2)*CG109*CJ109*VLOOKUP('Données projet'!$B$12,Paramètres!$A$1:$I$89,3,0)*0.475*44/12</f>
        <v>0</v>
      </c>
      <c r="CN109" s="24">
        <f t="shared" si="66"/>
        <v>0</v>
      </c>
      <c r="CO109" s="77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5.2</v>
      </c>
      <c r="CT109" s="13">
        <f>IF('Données projet'!$A$140&gt;35,CT108+CS109-DB108,IF(A109&lt;'Données projet'!$A$140,$CQ$205^A109,IF(A109='Données projet'!$A$140,'Données projet'!$B$140,CT108+CS109-DB108)))</f>
        <v>392.19999999999993</v>
      </c>
      <c r="CU109" s="18">
        <f>CT109*VLOOKUP('Données projet'!$B$13,Paramètres!$A$1:$I$89,3,0)*VLOOKUP('Données projet'!$B$13,Paramètres!$A$1:$I$89,5,0)</f>
        <v>422.1640799999999</v>
      </c>
      <c r="CV109" s="14">
        <f t="shared" si="95"/>
        <v>96.25589189520457</v>
      </c>
      <c r="CW109" s="22">
        <f t="shared" si="67"/>
        <v>902.91478438414788</v>
      </c>
      <c r="CX109" s="60">
        <f t="shared" si="68"/>
        <v>1196.2481177174811</v>
      </c>
      <c r="CY109" s="60">
        <f ca="1">AVERAGE(OFFSET($CX$3,0,0,'Données projet'!$E$13+1,1))-AVERAGE(OFFSET($H$3,0,0,'Données projet'!$E$13+1,1))</f>
        <v>621.10465023992288</v>
      </c>
      <c r="CZ109" s="60">
        <f t="shared" si="96"/>
        <v>322.81767004794284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>
        <f>EXP(-LN(2)/35)*DF108+(1-EXP(-LN(2)/35))/(LN(2)/35)*DB109*DC109*VLOOKUP('Données projet'!$B$13,Paramètres!$A$1:$I$89,3,0)*0.475*44/12</f>
        <v>0</v>
      </c>
      <c r="DG109" s="23">
        <f>EXP(-LN(2)/25)*DG108+(1-EXP(-LN(2)/25))/(LN(2)/25)*Calculateur!DB109*Calculateur!DD109*VLOOKUP('Données projet'!$B$13,Paramètres!$A$1:$I$89,3,0)*0.475*44/12</f>
        <v>0</v>
      </c>
      <c r="DH109" s="23">
        <f>EXP(-LN(2)/2)*DH108+(1-EXP(-LN(2)/2))/(LN(2)/2)*DB109*DE109*VLOOKUP('Données projet'!$B$13,Paramètres!$A$1:$I$89,3,0)*0.475*44/12</f>
        <v>0</v>
      </c>
      <c r="DI109" s="24">
        <f t="shared" si="69"/>
        <v>0</v>
      </c>
      <c r="DJ109" s="77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5.2</v>
      </c>
      <c r="DO109" s="13">
        <f>IF('Données projet'!$A$166&gt;35,DO108+DN109-DW108,IF(A109&lt;'Données projet'!$A$166,$DL$205^A109,IF(A109='Données projet'!$A$166,'Données projet'!$B$166,DO108+DN109-DW108)))</f>
        <v>392.19999999999993</v>
      </c>
      <c r="DP109" s="18">
        <f>DO109*VLOOKUP('Données projet'!$B$14,Paramètres!$A$1:$I$89,3,0)*VLOOKUP('Données projet'!$B$14,Paramètres!$A$1:$I$89,5,0)</f>
        <v>379.33583999999996</v>
      </c>
      <c r="DQ109" s="14">
        <f t="shared" si="97"/>
        <v>87.574479094077503</v>
      </c>
      <c r="DR109" s="22">
        <f t="shared" si="70"/>
        <v>813.2021390888516</v>
      </c>
      <c r="DS109" s="60">
        <f t="shared" si="71"/>
        <v>1106.535472422185</v>
      </c>
      <c r="DT109" s="60">
        <f ca="1">AVERAGE(OFFSET($DS$3,0,0,'Données projet'!$E$14+1,1))-AVERAGE(OFFSET($H$3,0,0,'Données projet'!$E$14+1,1))</f>
        <v>562.69380557620775</v>
      </c>
      <c r="DU109" s="60">
        <f t="shared" si="98"/>
        <v>294.45557293177131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>
        <f>EXP(-LN(2)/35)*EA108+(1-EXP(-LN(2)/35))/(LN(2)/35)*DW109*DX109*VLOOKUP('Données projet'!$B$14,Paramètres!$A$1:$I$89,3,0)*0.475*44/12</f>
        <v>0</v>
      </c>
      <c r="EB109" s="23">
        <f>EXP(-LN(2)/25)*EB108+(1-EXP(-LN(2)/25))/(LN(2)/25)*Calculateur!DW109*Calculateur!DY109*VLOOKUP('Données projet'!$B$14,Paramètres!$A$1:$I$89,3,0)*0.475*44/12</f>
        <v>0</v>
      </c>
      <c r="EC109" s="23">
        <f>EXP(-LN(2)/2)*EC108+(1-EXP(-LN(2)/2))/(LN(2)/2)*DW109*DZ109*VLOOKUP('Données projet'!$B$14,Paramètres!$A$1:$I$89,3,0)*0.475*44/12</f>
        <v>0</v>
      </c>
      <c r="ED109" s="24">
        <f t="shared" si="72"/>
        <v>0</v>
      </c>
      <c r="EE109" s="77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1.1368683772161603E-13</v>
      </c>
      <c r="EK109" s="18">
        <f>EJ109*VLOOKUP('Données projet'!$B$15,Paramètres!$A$1:$I$89,3,0)*VLOOKUP('Données projet'!$B$15,Paramètres!$A$1:$I$89,5,0)</f>
        <v>8.8675733422860506E-14</v>
      </c>
      <c r="EL109" s="14">
        <f t="shared" si="99"/>
        <v>1.3509285393066301E-12</v>
      </c>
      <c r="EM109" s="22">
        <f t="shared" si="73"/>
        <v>2.5073107750038623E-12</v>
      </c>
      <c r="EN109" s="60">
        <f t="shared" si="74"/>
        <v>293.33333333333582</v>
      </c>
      <c r="EO109" s="60">
        <f ca="1">AVERAGE(OFFSET($EN$3,0,0,'Données projet'!$E$15+1,1))-AVERAGE(OFFSET($H$3,0,0,'Données projet'!$E$15+1,1))</f>
        <v>292.57482726862594</v>
      </c>
      <c r="EP109" s="60">
        <f t="shared" si="100"/>
        <v>283.48738729114024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>
        <f>EXP(-LN(2)/35)*EV108+(1-EXP(-LN(2)/35))/(LN(2)/35)*ER109*ES109*VLOOKUP('Données projet'!$B$15,Paramètres!$A$1:$I$89,3,0)*0.475*44/12</f>
        <v>0</v>
      </c>
      <c r="EW109" s="23">
        <f>EXP(-LN(2)/25)*EW108+(1-EXP(-LN(2)/25))/(LN(2)/25)*Calculateur!ER109*Calculateur!ET109*VLOOKUP('Données projet'!$B$15,Paramètres!$A$1:$I$89,3,0)*0.475*44/12</f>
        <v>0</v>
      </c>
      <c r="EX109" s="23">
        <f>EXP(-LN(2)/2)*EX108+(1-EXP(-LN(2)/2))/(LN(2)/2)*ER109*EU109*VLOOKUP('Données projet'!$B$15,Paramètres!$A$1:$I$89,3,0)*0.475*44/12</f>
        <v>0</v>
      </c>
      <c r="EY109" s="24">
        <f t="shared" si="75"/>
        <v>0</v>
      </c>
      <c r="EZ109" s="77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0" t="e">
        <f t="shared" si="77"/>
        <v>#N/A</v>
      </c>
      <c r="FJ109" s="60" t="e">
        <f ca="1">AVERAGE(OFFSET($FI$3,0,0,'Données projet'!$E$16+1,1))-AVERAGE(OFFSET($H$3,0,0,'Données projet'!$E$16+1,1))</f>
        <v>#N/A</v>
      </c>
      <c r="FK109" s="60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77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0" t="e">
        <f t="shared" si="80"/>
        <v>#N/A</v>
      </c>
      <c r="GE109" s="60" t="e">
        <f ca="1">AVERAGE(OFFSET($GD$3,0,0,'Données projet'!$E$17+1,1))-AVERAGE(OFFSET($H$3,0,0,'Données projet'!$E$17+1,1))</f>
        <v>#N/A</v>
      </c>
      <c r="GF109" s="60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77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0" t="e">
        <f t="shared" si="83"/>
        <v>#N/A</v>
      </c>
      <c r="GZ109" s="60" t="e">
        <f ca="1">AVERAGE(OFFSET($GY$3,0,0,'Données projet'!$E$18+1,1))-AVERAGE(OFFSET($H$3,0,0,'Données projet'!$E$18+1,1))</f>
        <v>#N/A</v>
      </c>
      <c r="HA109" s="60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25">
      <c r="A110" s="11">
        <f t="shared" si="85"/>
        <v>107</v>
      </c>
      <c r="B110" s="74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2">
        <f t="shared" si="86"/>
        <v>0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0</v>
      </c>
      <c r="H110" s="67">
        <f t="shared" si="56"/>
        <v>256.66666666666669</v>
      </c>
      <c r="I110" s="7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3.3974358974359005</v>
      </c>
      <c r="N110" s="14">
        <f>IF('Données projet'!$A$36&gt;35,N109+M110-V109,IF(A110&lt;'Données projet'!$A$36,$K$205^A110,IF(A110='Données projet'!$A$36,'Données projet'!$B$36,N109+M110-V109)))</f>
        <v>269.29487179487194</v>
      </c>
      <c r="O110" s="14">
        <f>N110*VLOOKUP('Données projet'!$B$9,Paramètres!$A$1:$I$89,3,0)*VLOOKUP('Données projet'!$B$9,Paramètres!$A$1:$I$89,5,0)</f>
        <v>256.26100000000014</v>
      </c>
      <c r="P110" s="14">
        <f t="shared" si="87"/>
        <v>61.924703594514909</v>
      </c>
      <c r="Q110" s="22">
        <f t="shared" si="107"/>
        <v>554.1734337604471</v>
      </c>
      <c r="R110" s="60">
        <f t="shared" si="55"/>
        <v>847.50676709378035</v>
      </c>
      <c r="S110" s="60">
        <f ca="1">AVERAGE(OFFSET($R$3,0,0,'Données projet'!$E$9+1,1))-AVERAGE(OFFSET($H$3,0,0,'Données projet'!$E$9+1,1))</f>
        <v>403.49781966317852</v>
      </c>
      <c r="T110" s="60">
        <f t="shared" si="88"/>
        <v>326.06674572505409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0</v>
      </c>
      <c r="AA110" s="23">
        <f>EXP(-LN(2)/25)*AA109+(1-EXP(-LN(2)/25))/(LN(2)/25)*Calculateur!V110*Calculateur!X110*VLOOKUP('Données projet'!$B$9,Paramètres!$A$1:$I$89,3,0)*0.475*44/12</f>
        <v>0</v>
      </c>
      <c r="AB110" s="23">
        <f>EXP(-LN(2)/2)*AB109+(1-EXP(-LN(2)/2))/(LN(2)/2)*V110*Y110*VLOOKUP('Données projet'!$B$9,Paramètres!$A$1:$I$89,3,0)*0.475*44/12</f>
        <v>0</v>
      </c>
      <c r="AC110" s="24">
        <f t="shared" si="57"/>
        <v>0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-1.1368683772161603E-13</v>
      </c>
      <c r="AJ110" s="14">
        <f>AI110*VLOOKUP('Données projet'!$B$10,Paramètres!$A$1:$I$89,3,0)*VLOOKUP('Données projet'!$B$10,Paramètres!$A$1:$I$89,5,0)</f>
        <v>-9.9316821433603781E-14</v>
      </c>
      <c r="AK110" s="14" t="e">
        <f t="shared" si="89"/>
        <v>#NUM!</v>
      </c>
      <c r="AL110" s="22" t="e">
        <f t="shared" si="58"/>
        <v>#NUM!</v>
      </c>
      <c r="AM110" s="60" t="e">
        <f t="shared" si="59"/>
        <v>#NUM!</v>
      </c>
      <c r="AN110" s="60">
        <f ca="1">AVERAGE(OFFSET($AM$3,0,0,'Données projet'!$E$10+1,1))-AVERAGE(OFFSET($H$3,0,0,'Données projet'!$E$10+1,1))</f>
        <v>274.66236526869056</v>
      </c>
      <c r="AO110" s="60">
        <f t="shared" si="90"/>
        <v>256.90876395053073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>
        <f>EXP(-LN(2)/35)*AU109+(1-EXP(-LN(2)/35))/(LN(2)/35)*AQ110*AR110*VLOOKUP('Données projet'!$B$10,Paramètres!$A$1:$I$89,3,0)*0.475*44/12</f>
        <v>0</v>
      </c>
      <c r="AV110" s="23">
        <f>EXP(-LN(2)/25)*AV109+(1-EXP(-LN(2)/25))/(LN(2)/25)*Calculateur!AQ110*Calculateur!AS110*VLOOKUP('Données projet'!$B$10,Paramètres!$A$1:$I$89,3,0)*0.475*44/12</f>
        <v>0</v>
      </c>
      <c r="AW110" s="23">
        <f>EXP(-LN(2)/2)*AW109+(1-EXP(-LN(2)/2))/(LN(2)/2)*AQ110*AT110*VLOOKUP('Données projet'!$B$10,Paramètres!$A$1:$I$89,3,0)*0.475*44/12</f>
        <v>0</v>
      </c>
      <c r="AX110" s="23">
        <f t="shared" si="60"/>
        <v>0</v>
      </c>
      <c r="AY110" s="76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5.2</v>
      </c>
      <c r="BD110" s="13">
        <f>IF('Données projet'!$A$88&gt;35,BD109+BC110-BL109,IF(A110&lt;'Données projet'!$A$88,$BA$205^A110,IF(A110='Données projet'!$A$88,'Données projet'!$B$88,BD109+BC110-BL109)))</f>
        <v>397.39999999999992</v>
      </c>
      <c r="BE110" s="14">
        <f>BD110*VLOOKUP('Données projet'!$B$11,Paramètres!$A$1:$I$89,3,0)*VLOOKUP('Données projet'!$B$11,Paramètres!$A$1:$I$89,5,0)</f>
        <v>359.56751999999989</v>
      </c>
      <c r="BF110" s="14">
        <f t="shared" si="91"/>
        <v>83.529460161600639</v>
      </c>
      <c r="BG110" s="22">
        <f t="shared" si="61"/>
        <v>771.72724044812094</v>
      </c>
      <c r="BH110" s="60">
        <f t="shared" si="62"/>
        <v>1065.0605737814542</v>
      </c>
      <c r="BI110" s="60">
        <f ca="1">AVERAGE(OFFSET($BH$3,0,0,'Données projet'!$E$11+1,1))-AVERAGE(OFFSET($H$3,0,0,'Données projet'!$E$11+1,1))</f>
        <v>529.25712986118265</v>
      </c>
      <c r="BJ110" s="60">
        <f t="shared" si="92"/>
        <v>278.21741231699929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>
        <f>EXP(-LN(2)/35)*BP109+(1-EXP(-LN(2)/35))/(LN(2)/35)*BL110*BM110*VLOOKUP('Données projet'!$B$11,Paramètres!$A$1:$I$89,3,0)*0.475*44/12</f>
        <v>0</v>
      </c>
      <c r="BQ110" s="23">
        <f>EXP(-LN(2)/25)*BQ109+(1-EXP(-LN(2)/25))/(LN(2)/25)*Calculateur!BL110*Calculateur!BN110*VLOOKUP('Données projet'!$B$11,Paramètres!$A$1:$I$89,3,0)*0.475*44/12</f>
        <v>0</v>
      </c>
      <c r="BR110" s="23">
        <f>EXP(-LN(2)/2)*BR109+(1-EXP(-LN(2)/2))/(LN(2)/2)*BL110*BO110*VLOOKUP('Données projet'!$B$11,Paramètres!$A$1:$I$89,3,0)*0.475*44/12</f>
        <v>0</v>
      </c>
      <c r="BS110" s="24">
        <f t="shared" si="63"/>
        <v>0</v>
      </c>
      <c r="BT110" s="77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5.2</v>
      </c>
      <c r="BY110" s="13">
        <f>IF('Données projet'!$A$114&gt;35,BY109+BX110-CG109,IF(A110&lt;'Données projet'!$A$114,$BV$205^A110,IF(A110='Données projet'!$A$114,'Données projet'!$B$114,BY109+BX110-CG109)))</f>
        <v>397.39999999999992</v>
      </c>
      <c r="BZ110" s="14">
        <f>BY110*VLOOKUP('Données projet'!$B$12,Paramètres!$A$1:$I$89,3,0)*VLOOKUP('Données projet'!$B$12,Paramètres!$A$1:$I$89,5,0)</f>
        <v>402.96359999999993</v>
      </c>
      <c r="CA110" s="14">
        <f t="shared" si="93"/>
        <v>92.377231274033051</v>
      </c>
      <c r="CB110" s="22">
        <f t="shared" si="64"/>
        <v>862.7186144689407</v>
      </c>
      <c r="CC110" s="60">
        <f t="shared" si="65"/>
        <v>1156.0519478022741</v>
      </c>
      <c r="CD110" s="60">
        <f ca="1">AVERAGE(OFFSET($CC$3,0,0,'Données projet'!$E$12+1,1))-AVERAGE(OFFSET($H$3,0,0,'Données projet'!$E$12+1,1))</f>
        <v>587.74247372331615</v>
      </c>
      <c r="CE110" s="60">
        <f t="shared" si="94"/>
        <v>306.61893266146666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>
        <f>EXP(-LN(2)/35)*CK109+(1-EXP(-LN(2)/35))/(LN(2)/35)*CG110*CH110*VLOOKUP('Données projet'!$B$12,Paramètres!$A$1:$I$89,3,0)*0.475*44/12</f>
        <v>0</v>
      </c>
      <c r="CL110" s="23">
        <f>EXP(-LN(2)/25)*CL109+(1-EXP(-LN(2)/25))/(LN(2)/25)*Calculateur!CG110*Calculateur!CI110*VLOOKUP('Données projet'!$B$12,Paramètres!$A$1:$I$89,3,0)*0.475*44/12</f>
        <v>0</v>
      </c>
      <c r="CM110" s="23">
        <f>EXP(-LN(2)/2)*CM109+(1-EXP(-LN(2)/2))/(LN(2)/2)*CG110*CJ110*VLOOKUP('Données projet'!$B$12,Paramètres!$A$1:$I$89,3,0)*0.475*44/12</f>
        <v>0</v>
      </c>
      <c r="CN110" s="24">
        <f t="shared" si="66"/>
        <v>0</v>
      </c>
      <c r="CO110" s="77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5.2</v>
      </c>
      <c r="CT110" s="13">
        <f>IF('Données projet'!$A$140&gt;35,CT109+CS110-DB109,IF(A110&lt;'Données projet'!$A$140,$CQ$205^A110,IF(A110='Données projet'!$A$140,'Données projet'!$B$140,CT109+CS110-DB109)))</f>
        <v>397.39999999999992</v>
      </c>
      <c r="CU110" s="18">
        <f>CT110*VLOOKUP('Données projet'!$B$13,Paramètres!$A$1:$I$89,3,0)*VLOOKUP('Données projet'!$B$13,Paramètres!$A$1:$I$89,5,0)</f>
        <v>427.76135999999985</v>
      </c>
      <c r="CV110" s="14">
        <f t="shared" si="95"/>
        <v>97.382687581658757</v>
      </c>
      <c r="CW110" s="22">
        <f t="shared" si="67"/>
        <v>914.62588287138863</v>
      </c>
      <c r="CX110" s="60">
        <f t="shared" si="68"/>
        <v>1207.959216204722</v>
      </c>
      <c r="CY110" s="60">
        <f ca="1">AVERAGE(OFFSET($CX$3,0,0,'Données projet'!$E$13+1,1))-AVERAGE(OFFSET($H$3,0,0,'Données projet'!$E$13+1,1))</f>
        <v>621.10465023992288</v>
      </c>
      <c r="CZ110" s="60">
        <f t="shared" si="96"/>
        <v>322.81767004794284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>
        <f>EXP(-LN(2)/35)*DF109+(1-EXP(-LN(2)/35))/(LN(2)/35)*DB110*DC110*VLOOKUP('Données projet'!$B$13,Paramètres!$A$1:$I$89,3,0)*0.475*44/12</f>
        <v>0</v>
      </c>
      <c r="DG110" s="23">
        <f>EXP(-LN(2)/25)*DG109+(1-EXP(-LN(2)/25))/(LN(2)/25)*Calculateur!DB110*Calculateur!DD110*VLOOKUP('Données projet'!$B$13,Paramètres!$A$1:$I$89,3,0)*0.475*44/12</f>
        <v>0</v>
      </c>
      <c r="DH110" s="23">
        <f>EXP(-LN(2)/2)*DH109+(1-EXP(-LN(2)/2))/(LN(2)/2)*DB110*DE110*VLOOKUP('Données projet'!$B$13,Paramètres!$A$1:$I$89,3,0)*0.475*44/12</f>
        <v>0</v>
      </c>
      <c r="DI110" s="24">
        <f t="shared" si="69"/>
        <v>0</v>
      </c>
      <c r="DJ110" s="77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5.2</v>
      </c>
      <c r="DO110" s="13">
        <f>IF('Données projet'!$A$166&gt;35,DO109+DN110-DW109,IF(A110&lt;'Données projet'!$A$166,$DL$205^A110,IF(A110='Données projet'!$A$166,'Données projet'!$B$166,DO109+DN110-DW109)))</f>
        <v>397.39999999999992</v>
      </c>
      <c r="DP110" s="18">
        <f>DO110*VLOOKUP('Données projet'!$B$14,Paramètres!$A$1:$I$89,3,0)*VLOOKUP('Données projet'!$B$14,Paramètres!$A$1:$I$89,5,0)</f>
        <v>384.36527999999993</v>
      </c>
      <c r="DQ110" s="14">
        <f t="shared" si="97"/>
        <v>88.599647978223373</v>
      </c>
      <c r="DR110" s="22">
        <f t="shared" si="70"/>
        <v>823.74724956207217</v>
      </c>
      <c r="DS110" s="60">
        <f t="shared" si="71"/>
        <v>1117.0805828954055</v>
      </c>
      <c r="DT110" s="60">
        <f ca="1">AVERAGE(OFFSET($DS$3,0,0,'Données projet'!$E$14+1,1))-AVERAGE(OFFSET($H$3,0,0,'Données projet'!$E$14+1,1))</f>
        <v>562.69380557620775</v>
      </c>
      <c r="DU110" s="60">
        <f t="shared" si="98"/>
        <v>294.45557293177131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>
        <f>EXP(-LN(2)/35)*EA109+(1-EXP(-LN(2)/35))/(LN(2)/35)*DW110*DX110*VLOOKUP('Données projet'!$B$14,Paramètres!$A$1:$I$89,3,0)*0.475*44/12</f>
        <v>0</v>
      </c>
      <c r="EB110" s="23">
        <f>EXP(-LN(2)/25)*EB109+(1-EXP(-LN(2)/25))/(LN(2)/25)*Calculateur!DW110*Calculateur!DY110*VLOOKUP('Données projet'!$B$14,Paramètres!$A$1:$I$89,3,0)*0.475*44/12</f>
        <v>0</v>
      </c>
      <c r="EC110" s="23">
        <f>EXP(-LN(2)/2)*EC109+(1-EXP(-LN(2)/2))/(LN(2)/2)*DW110*DZ110*VLOOKUP('Données projet'!$B$14,Paramètres!$A$1:$I$89,3,0)*0.475*44/12</f>
        <v>0</v>
      </c>
      <c r="ED110" s="24">
        <f t="shared" si="72"/>
        <v>0</v>
      </c>
      <c r="EE110" s="77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1.1368683772161603E-13</v>
      </c>
      <c r="EK110" s="18">
        <f>EJ110*VLOOKUP('Données projet'!$B$15,Paramètres!$A$1:$I$89,3,0)*VLOOKUP('Données projet'!$B$15,Paramètres!$A$1:$I$89,5,0)</f>
        <v>8.8675733422860506E-14</v>
      </c>
      <c r="EL110" s="14">
        <f t="shared" si="99"/>
        <v>1.3509285393066301E-12</v>
      </c>
      <c r="EM110" s="22">
        <f t="shared" si="73"/>
        <v>2.5073107750038623E-12</v>
      </c>
      <c r="EN110" s="60">
        <f t="shared" si="74"/>
        <v>293.33333333333582</v>
      </c>
      <c r="EO110" s="60">
        <f ca="1">AVERAGE(OFFSET($EN$3,0,0,'Données projet'!$E$15+1,1))-AVERAGE(OFFSET($H$3,0,0,'Données projet'!$E$15+1,1))</f>
        <v>292.57482726862594</v>
      </c>
      <c r="EP110" s="60">
        <f t="shared" si="100"/>
        <v>283.48738729114024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>
        <f>EXP(-LN(2)/35)*EV109+(1-EXP(-LN(2)/35))/(LN(2)/35)*ER110*ES110*VLOOKUP('Données projet'!$B$15,Paramètres!$A$1:$I$89,3,0)*0.475*44/12</f>
        <v>0</v>
      </c>
      <c r="EW110" s="23">
        <f>EXP(-LN(2)/25)*EW109+(1-EXP(-LN(2)/25))/(LN(2)/25)*Calculateur!ER110*Calculateur!ET110*VLOOKUP('Données projet'!$B$15,Paramètres!$A$1:$I$89,3,0)*0.475*44/12</f>
        <v>0</v>
      </c>
      <c r="EX110" s="23">
        <f>EXP(-LN(2)/2)*EX109+(1-EXP(-LN(2)/2))/(LN(2)/2)*ER110*EU110*VLOOKUP('Données projet'!$B$15,Paramètres!$A$1:$I$89,3,0)*0.475*44/12</f>
        <v>0</v>
      </c>
      <c r="EY110" s="24">
        <f t="shared" si="75"/>
        <v>0</v>
      </c>
      <c r="EZ110" s="77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0" t="e">
        <f t="shared" si="77"/>
        <v>#N/A</v>
      </c>
      <c r="FJ110" s="60" t="e">
        <f ca="1">AVERAGE(OFFSET($FI$3,0,0,'Données projet'!$E$16+1,1))-AVERAGE(OFFSET($H$3,0,0,'Données projet'!$E$16+1,1))</f>
        <v>#N/A</v>
      </c>
      <c r="FK110" s="60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77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0" t="e">
        <f t="shared" si="80"/>
        <v>#N/A</v>
      </c>
      <c r="GE110" s="60" t="e">
        <f ca="1">AVERAGE(OFFSET($GD$3,0,0,'Données projet'!$E$17+1,1))-AVERAGE(OFFSET($H$3,0,0,'Données projet'!$E$17+1,1))</f>
        <v>#N/A</v>
      </c>
      <c r="GF110" s="60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77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0" t="e">
        <f t="shared" si="83"/>
        <v>#N/A</v>
      </c>
      <c r="GZ110" s="60" t="e">
        <f ca="1">AVERAGE(OFFSET($GY$3,0,0,'Données projet'!$E$18+1,1))-AVERAGE(OFFSET($H$3,0,0,'Données projet'!$E$18+1,1))</f>
        <v>#N/A</v>
      </c>
      <c r="HA110" s="60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25">
      <c r="A111" s="11">
        <f t="shared" si="85"/>
        <v>108</v>
      </c>
      <c r="B111" s="74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2">
        <f t="shared" si="86"/>
        <v>0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0</v>
      </c>
      <c r="H111" s="67">
        <f t="shared" si="56"/>
        <v>256.66666666666669</v>
      </c>
      <c r="I111" s="7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3.3974358974359005</v>
      </c>
      <c r="N111" s="14">
        <f>IF('Données projet'!$A$36&gt;35,N110+M111-V110,IF(A111&lt;'Données projet'!$A$36,$K$205^A111,IF(A111='Données projet'!$A$36,'Données projet'!$B$36,N110+M111-V110)))</f>
        <v>272.69230769230785</v>
      </c>
      <c r="O111" s="14">
        <f>N111*VLOOKUP('Données projet'!$B$9,Paramètres!$A$1:$I$89,3,0)*VLOOKUP('Données projet'!$B$9,Paramètres!$A$1:$I$89,5,0)</f>
        <v>259.4940000000002</v>
      </c>
      <c r="P111" s="14">
        <f t="shared" si="87"/>
        <v>62.614506978482915</v>
      </c>
      <c r="Q111" s="22">
        <f t="shared" si="107"/>
        <v>561.00564965419142</v>
      </c>
      <c r="R111" s="60">
        <f t="shared" si="55"/>
        <v>854.33898298752479</v>
      </c>
      <c r="S111" s="60">
        <f ca="1">AVERAGE(OFFSET($R$3,0,0,'Données projet'!$E$9+1,1))-AVERAGE(OFFSET($H$3,0,0,'Données projet'!$E$9+1,1))</f>
        <v>403.49781966317852</v>
      </c>
      <c r="T111" s="60">
        <f t="shared" si="88"/>
        <v>326.06674572505409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0</v>
      </c>
      <c r="AA111" s="23">
        <f>EXP(-LN(2)/25)*AA110+(1-EXP(-LN(2)/25))/(LN(2)/25)*Calculateur!V111*Calculateur!X111*VLOOKUP('Données projet'!$B$9,Paramètres!$A$1:$I$89,3,0)*0.475*44/12</f>
        <v>0</v>
      </c>
      <c r="AB111" s="23">
        <f>EXP(-LN(2)/2)*AB110+(1-EXP(-LN(2)/2))/(LN(2)/2)*V111*Y111*VLOOKUP('Données projet'!$B$9,Paramètres!$A$1:$I$89,3,0)*0.475*44/12</f>
        <v>0</v>
      </c>
      <c r="AC111" s="24">
        <f t="shared" si="57"/>
        <v>0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-1.1368683772161603E-13</v>
      </c>
      <c r="AJ111" s="14">
        <f>AI111*VLOOKUP('Données projet'!$B$10,Paramètres!$A$1:$I$89,3,0)*VLOOKUP('Données projet'!$B$10,Paramètres!$A$1:$I$89,5,0)</f>
        <v>-9.9316821433603781E-14</v>
      </c>
      <c r="AK111" s="14" t="e">
        <f t="shared" si="89"/>
        <v>#NUM!</v>
      </c>
      <c r="AL111" s="22" t="e">
        <f t="shared" si="58"/>
        <v>#NUM!</v>
      </c>
      <c r="AM111" s="60" t="e">
        <f t="shared" si="59"/>
        <v>#NUM!</v>
      </c>
      <c r="AN111" s="60">
        <f ca="1">AVERAGE(OFFSET($AM$3,0,0,'Données projet'!$E$10+1,1))-AVERAGE(OFFSET($H$3,0,0,'Données projet'!$E$10+1,1))</f>
        <v>274.66236526869056</v>
      </c>
      <c r="AO111" s="60">
        <f t="shared" si="90"/>
        <v>256.90876395053073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>
        <f>EXP(-LN(2)/35)*AU110+(1-EXP(-LN(2)/35))/(LN(2)/35)*AQ111*AR111*VLOOKUP('Données projet'!$B$10,Paramètres!$A$1:$I$89,3,0)*0.475*44/12</f>
        <v>0</v>
      </c>
      <c r="AV111" s="23">
        <f>EXP(-LN(2)/25)*AV110+(1-EXP(-LN(2)/25))/(LN(2)/25)*Calculateur!AQ111*Calculateur!AS111*VLOOKUP('Données projet'!$B$10,Paramètres!$A$1:$I$89,3,0)*0.475*44/12</f>
        <v>0</v>
      </c>
      <c r="AW111" s="23">
        <f>EXP(-LN(2)/2)*AW110+(1-EXP(-LN(2)/2))/(LN(2)/2)*AQ111*AT111*VLOOKUP('Données projet'!$B$10,Paramètres!$A$1:$I$89,3,0)*0.475*44/12</f>
        <v>0</v>
      </c>
      <c r="AX111" s="23">
        <f t="shared" si="60"/>
        <v>0</v>
      </c>
      <c r="AY111" s="76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5.2</v>
      </c>
      <c r="BD111" s="13">
        <f>IF('Données projet'!$A$88&gt;35,BD110+BC111-BL110,IF(A111&lt;'Données projet'!$A$88,$BA$205^A111,IF(A111='Données projet'!$A$88,'Données projet'!$B$88,BD110+BC111-BL110)))</f>
        <v>402.59999999999991</v>
      </c>
      <c r="BE111" s="14">
        <f>BD111*VLOOKUP('Données projet'!$B$11,Paramètres!$A$1:$I$89,3,0)*VLOOKUP('Données projet'!$B$11,Paramètres!$A$1:$I$89,5,0)</f>
        <v>364.27247999999992</v>
      </c>
      <c r="BF111" s="14">
        <f t="shared" si="91"/>
        <v>84.494491907753741</v>
      </c>
      <c r="BG111" s="22">
        <f t="shared" si="61"/>
        <v>781.60247607267092</v>
      </c>
      <c r="BH111" s="60">
        <f t="shared" si="62"/>
        <v>1074.9358094060042</v>
      </c>
      <c r="BI111" s="60">
        <f ca="1">AVERAGE(OFFSET($BH$3,0,0,'Données projet'!$E$11+1,1))-AVERAGE(OFFSET($H$3,0,0,'Données projet'!$E$11+1,1))</f>
        <v>529.25712986118265</v>
      </c>
      <c r="BJ111" s="60">
        <f t="shared" si="92"/>
        <v>278.21741231699929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>
        <f>EXP(-LN(2)/35)*BP110+(1-EXP(-LN(2)/35))/(LN(2)/35)*BL111*BM111*VLOOKUP('Données projet'!$B$11,Paramètres!$A$1:$I$89,3,0)*0.475*44/12</f>
        <v>0</v>
      </c>
      <c r="BQ111" s="23">
        <f>EXP(-LN(2)/25)*BQ110+(1-EXP(-LN(2)/25))/(LN(2)/25)*Calculateur!BL111*Calculateur!BN111*VLOOKUP('Données projet'!$B$11,Paramètres!$A$1:$I$89,3,0)*0.475*44/12</f>
        <v>0</v>
      </c>
      <c r="BR111" s="23">
        <f>EXP(-LN(2)/2)*BR110+(1-EXP(-LN(2)/2))/(LN(2)/2)*BL111*BO111*VLOOKUP('Données projet'!$B$11,Paramètres!$A$1:$I$89,3,0)*0.475*44/12</f>
        <v>0</v>
      </c>
      <c r="BS111" s="24">
        <f t="shared" si="63"/>
        <v>0</v>
      </c>
      <c r="BT111" s="77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5.2</v>
      </c>
      <c r="BY111" s="13">
        <f>IF('Données projet'!$A$114&gt;35,BY110+BX111-CG110,IF(A111&lt;'Données projet'!$A$114,$BV$205^A111,IF(A111='Données projet'!$A$114,'Données projet'!$B$114,BY110+BX111-CG110)))</f>
        <v>402.59999999999991</v>
      </c>
      <c r="BZ111" s="14">
        <f>BY111*VLOOKUP('Données projet'!$B$12,Paramètres!$A$1:$I$89,3,0)*VLOOKUP('Données projet'!$B$12,Paramètres!$A$1:$I$89,5,0)</f>
        <v>408.23639999999995</v>
      </c>
      <c r="CA111" s="14">
        <f t="shared" si="93"/>
        <v>93.444483003287701</v>
      </c>
      <c r="CB111" s="22">
        <f t="shared" si="64"/>
        <v>873.76087123072591</v>
      </c>
      <c r="CC111" s="60">
        <f t="shared" si="65"/>
        <v>1167.0942045640593</v>
      </c>
      <c r="CD111" s="60">
        <f ca="1">AVERAGE(OFFSET($CC$3,0,0,'Données projet'!$E$12+1,1))-AVERAGE(OFFSET($H$3,0,0,'Données projet'!$E$12+1,1))</f>
        <v>587.74247372331615</v>
      </c>
      <c r="CE111" s="60">
        <f t="shared" si="94"/>
        <v>306.61893266146666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>
        <f>EXP(-LN(2)/35)*CK110+(1-EXP(-LN(2)/35))/(LN(2)/35)*CG111*CH111*VLOOKUP('Données projet'!$B$12,Paramètres!$A$1:$I$89,3,0)*0.475*44/12</f>
        <v>0</v>
      </c>
      <c r="CL111" s="23">
        <f>EXP(-LN(2)/25)*CL110+(1-EXP(-LN(2)/25))/(LN(2)/25)*Calculateur!CG111*Calculateur!CI111*VLOOKUP('Données projet'!$B$12,Paramètres!$A$1:$I$89,3,0)*0.475*44/12</f>
        <v>0</v>
      </c>
      <c r="CM111" s="23">
        <f>EXP(-LN(2)/2)*CM110+(1-EXP(-LN(2)/2))/(LN(2)/2)*CG111*CJ111*VLOOKUP('Données projet'!$B$12,Paramètres!$A$1:$I$89,3,0)*0.475*44/12</f>
        <v>0</v>
      </c>
      <c r="CN111" s="24">
        <f t="shared" si="66"/>
        <v>0</v>
      </c>
      <c r="CO111" s="77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5.2</v>
      </c>
      <c r="CT111" s="13">
        <f>IF('Données projet'!$A$140&gt;35,CT110+CS111-DB110,IF(A111&lt;'Données projet'!$A$140,$CQ$205^A111,IF(A111='Données projet'!$A$140,'Données projet'!$B$140,CT110+CS111-DB110)))</f>
        <v>402.59999999999991</v>
      </c>
      <c r="CU111" s="18">
        <f>CT111*VLOOKUP('Données projet'!$B$13,Paramètres!$A$1:$I$89,3,0)*VLOOKUP('Données projet'!$B$13,Paramètres!$A$1:$I$89,5,0)</f>
        <v>433.35863999999992</v>
      </c>
      <c r="CV111" s="14">
        <f t="shared" si="95"/>
        <v>98.507768300008948</v>
      </c>
      <c r="CW111" s="22">
        <f t="shared" si="67"/>
        <v>926.33399445584871</v>
      </c>
      <c r="CX111" s="60">
        <f t="shared" si="68"/>
        <v>1219.6673277891821</v>
      </c>
      <c r="CY111" s="60">
        <f ca="1">AVERAGE(OFFSET($CX$3,0,0,'Données projet'!$E$13+1,1))-AVERAGE(OFFSET($H$3,0,0,'Données projet'!$E$13+1,1))</f>
        <v>621.10465023992288</v>
      </c>
      <c r="CZ111" s="60">
        <f t="shared" si="96"/>
        <v>322.81767004794284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>
        <f>EXP(-LN(2)/35)*DF110+(1-EXP(-LN(2)/35))/(LN(2)/35)*DB111*DC111*VLOOKUP('Données projet'!$B$13,Paramètres!$A$1:$I$89,3,0)*0.475*44/12</f>
        <v>0</v>
      </c>
      <c r="DG111" s="23">
        <f>EXP(-LN(2)/25)*DG110+(1-EXP(-LN(2)/25))/(LN(2)/25)*Calculateur!DB111*Calculateur!DD111*VLOOKUP('Données projet'!$B$13,Paramètres!$A$1:$I$89,3,0)*0.475*44/12</f>
        <v>0</v>
      </c>
      <c r="DH111" s="23">
        <f>EXP(-LN(2)/2)*DH110+(1-EXP(-LN(2)/2))/(LN(2)/2)*DB111*DE111*VLOOKUP('Données projet'!$B$13,Paramètres!$A$1:$I$89,3,0)*0.475*44/12</f>
        <v>0</v>
      </c>
      <c r="DI111" s="24">
        <f t="shared" si="69"/>
        <v>0</v>
      </c>
      <c r="DJ111" s="77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5.2</v>
      </c>
      <c r="DO111" s="13">
        <f>IF('Données projet'!$A$166&gt;35,DO110+DN111-DW110,IF(A111&lt;'Données projet'!$A$166,$DL$205^A111,IF(A111='Données projet'!$A$166,'Données projet'!$B$166,DO110+DN111-DW110)))</f>
        <v>402.59999999999991</v>
      </c>
      <c r="DP111" s="18">
        <f>DO111*VLOOKUP('Données projet'!$B$14,Paramètres!$A$1:$I$89,3,0)*VLOOKUP('Données projet'!$B$14,Paramètres!$A$1:$I$89,5,0)</f>
        <v>389.39471999999989</v>
      </c>
      <c r="DQ111" s="14">
        <f t="shared" si="97"/>
        <v>89.623256568911799</v>
      </c>
      <c r="DR111" s="22">
        <f t="shared" si="70"/>
        <v>834.28964252418791</v>
      </c>
      <c r="DS111" s="60">
        <f t="shared" si="71"/>
        <v>1127.6229758575212</v>
      </c>
      <c r="DT111" s="60">
        <f ca="1">AVERAGE(OFFSET($DS$3,0,0,'Données projet'!$E$14+1,1))-AVERAGE(OFFSET($H$3,0,0,'Données projet'!$E$14+1,1))</f>
        <v>562.69380557620775</v>
      </c>
      <c r="DU111" s="60">
        <f t="shared" si="98"/>
        <v>294.45557293177131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>
        <f>EXP(-LN(2)/35)*EA110+(1-EXP(-LN(2)/35))/(LN(2)/35)*DW111*DX111*VLOOKUP('Données projet'!$B$14,Paramètres!$A$1:$I$89,3,0)*0.475*44/12</f>
        <v>0</v>
      </c>
      <c r="EB111" s="23">
        <f>EXP(-LN(2)/25)*EB110+(1-EXP(-LN(2)/25))/(LN(2)/25)*Calculateur!DW111*Calculateur!DY111*VLOOKUP('Données projet'!$B$14,Paramètres!$A$1:$I$89,3,0)*0.475*44/12</f>
        <v>0</v>
      </c>
      <c r="EC111" s="23">
        <f>EXP(-LN(2)/2)*EC110+(1-EXP(-LN(2)/2))/(LN(2)/2)*DW111*DZ111*VLOOKUP('Données projet'!$B$14,Paramètres!$A$1:$I$89,3,0)*0.475*44/12</f>
        <v>0</v>
      </c>
      <c r="ED111" s="24">
        <f t="shared" si="72"/>
        <v>0</v>
      </c>
      <c r="EE111" s="77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1.1368683772161603E-13</v>
      </c>
      <c r="EK111" s="18">
        <f>EJ111*VLOOKUP('Données projet'!$B$15,Paramètres!$A$1:$I$89,3,0)*VLOOKUP('Données projet'!$B$15,Paramètres!$A$1:$I$89,5,0)</f>
        <v>8.8675733422860506E-14</v>
      </c>
      <c r="EL111" s="14">
        <f t="shared" si="99"/>
        <v>1.3509285393066301E-12</v>
      </c>
      <c r="EM111" s="22">
        <f t="shared" si="73"/>
        <v>2.5073107750038623E-12</v>
      </c>
      <c r="EN111" s="60">
        <f t="shared" si="74"/>
        <v>293.33333333333582</v>
      </c>
      <c r="EO111" s="60">
        <f ca="1">AVERAGE(OFFSET($EN$3,0,0,'Données projet'!$E$15+1,1))-AVERAGE(OFFSET($H$3,0,0,'Données projet'!$E$15+1,1))</f>
        <v>292.57482726862594</v>
      </c>
      <c r="EP111" s="60">
        <f t="shared" si="100"/>
        <v>283.48738729114024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>
        <f>EXP(-LN(2)/35)*EV110+(1-EXP(-LN(2)/35))/(LN(2)/35)*ER111*ES111*VLOOKUP('Données projet'!$B$15,Paramètres!$A$1:$I$89,3,0)*0.475*44/12</f>
        <v>0</v>
      </c>
      <c r="EW111" s="23">
        <f>EXP(-LN(2)/25)*EW110+(1-EXP(-LN(2)/25))/(LN(2)/25)*Calculateur!ER111*Calculateur!ET111*VLOOKUP('Données projet'!$B$15,Paramètres!$A$1:$I$89,3,0)*0.475*44/12</f>
        <v>0</v>
      </c>
      <c r="EX111" s="23">
        <f>EXP(-LN(2)/2)*EX110+(1-EXP(-LN(2)/2))/(LN(2)/2)*ER111*EU111*VLOOKUP('Données projet'!$B$15,Paramètres!$A$1:$I$89,3,0)*0.475*44/12</f>
        <v>0</v>
      </c>
      <c r="EY111" s="24">
        <f t="shared" si="75"/>
        <v>0</v>
      </c>
      <c r="EZ111" s="77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0" t="e">
        <f t="shared" si="77"/>
        <v>#N/A</v>
      </c>
      <c r="FJ111" s="60" t="e">
        <f ca="1">AVERAGE(OFFSET($FI$3,0,0,'Données projet'!$E$16+1,1))-AVERAGE(OFFSET($H$3,0,0,'Données projet'!$E$16+1,1))</f>
        <v>#N/A</v>
      </c>
      <c r="FK111" s="60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77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0" t="e">
        <f t="shared" si="80"/>
        <v>#N/A</v>
      </c>
      <c r="GE111" s="60" t="e">
        <f ca="1">AVERAGE(OFFSET($GD$3,0,0,'Données projet'!$E$17+1,1))-AVERAGE(OFFSET($H$3,0,0,'Données projet'!$E$17+1,1))</f>
        <v>#N/A</v>
      </c>
      <c r="GF111" s="60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77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0" t="e">
        <f t="shared" si="83"/>
        <v>#N/A</v>
      </c>
      <c r="GZ111" s="60" t="e">
        <f ca="1">AVERAGE(OFFSET($GY$3,0,0,'Données projet'!$E$18+1,1))-AVERAGE(OFFSET($H$3,0,0,'Données projet'!$E$18+1,1))</f>
        <v>#N/A</v>
      </c>
      <c r="HA111" s="60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25">
      <c r="A112" s="11">
        <f t="shared" si="85"/>
        <v>109</v>
      </c>
      <c r="B112" s="74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2">
        <f t="shared" si="86"/>
        <v>0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0</v>
      </c>
      <c r="H112" s="67">
        <f t="shared" si="56"/>
        <v>256.66666666666669</v>
      </c>
      <c r="I112" s="7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3.3974358974359005</v>
      </c>
      <c r="N112" s="14">
        <f>IF('Données projet'!$A$36&gt;35,N111+M112-V111,IF(A112&lt;'Données projet'!$A$36,$K$205^A112,IF(A112='Données projet'!$A$36,'Données projet'!$B$36,N111+M112-V111)))</f>
        <v>276.08974358974376</v>
      </c>
      <c r="O112" s="14">
        <f>N112*VLOOKUP('Données projet'!$B$9,Paramètres!$A$1:$I$89,3,0)*VLOOKUP('Données projet'!$B$9,Paramètres!$A$1:$I$89,5,0)</f>
        <v>262.72700000000015</v>
      </c>
      <c r="P112" s="14">
        <f t="shared" si="87"/>
        <v>63.303310699274213</v>
      </c>
      <c r="Q112" s="22">
        <f t="shared" si="107"/>
        <v>567.83612446790278</v>
      </c>
      <c r="R112" s="60">
        <f t="shared" si="55"/>
        <v>861.16945780123615</v>
      </c>
      <c r="S112" s="60">
        <f ca="1">AVERAGE(OFFSET($R$3,0,0,'Données projet'!$E$9+1,1))-AVERAGE(OFFSET($H$3,0,0,'Données projet'!$E$9+1,1))</f>
        <v>403.49781966317852</v>
      </c>
      <c r="T112" s="60">
        <f t="shared" si="88"/>
        <v>326.06674572505409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0</v>
      </c>
      <c r="AA112" s="23">
        <f>EXP(-LN(2)/25)*AA111+(1-EXP(-LN(2)/25))/(LN(2)/25)*Calculateur!V112*Calculateur!X112*VLOOKUP('Données projet'!$B$9,Paramètres!$A$1:$I$89,3,0)*0.475*44/12</f>
        <v>0</v>
      </c>
      <c r="AB112" s="23">
        <f>EXP(-LN(2)/2)*AB111+(1-EXP(-LN(2)/2))/(LN(2)/2)*V112*Y112*VLOOKUP('Données projet'!$B$9,Paramètres!$A$1:$I$89,3,0)*0.475*44/12</f>
        <v>0</v>
      </c>
      <c r="AC112" s="24">
        <f t="shared" si="57"/>
        <v>0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-1.1368683772161603E-13</v>
      </c>
      <c r="AJ112" s="14">
        <f>AI112*VLOOKUP('Données projet'!$B$10,Paramètres!$A$1:$I$89,3,0)*VLOOKUP('Données projet'!$B$10,Paramètres!$A$1:$I$89,5,0)</f>
        <v>-9.9316821433603781E-14</v>
      </c>
      <c r="AK112" s="14" t="e">
        <f t="shared" si="89"/>
        <v>#NUM!</v>
      </c>
      <c r="AL112" s="22" t="e">
        <f t="shared" si="58"/>
        <v>#NUM!</v>
      </c>
      <c r="AM112" s="60" t="e">
        <f t="shared" si="59"/>
        <v>#NUM!</v>
      </c>
      <c r="AN112" s="60">
        <f ca="1">AVERAGE(OFFSET($AM$3,0,0,'Données projet'!$E$10+1,1))-AVERAGE(OFFSET($H$3,0,0,'Données projet'!$E$10+1,1))</f>
        <v>274.66236526869056</v>
      </c>
      <c r="AO112" s="60">
        <f t="shared" si="90"/>
        <v>256.90876395053073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>
        <f>EXP(-LN(2)/35)*AU111+(1-EXP(-LN(2)/35))/(LN(2)/35)*AQ112*AR112*VLOOKUP('Données projet'!$B$10,Paramètres!$A$1:$I$89,3,0)*0.475*44/12</f>
        <v>0</v>
      </c>
      <c r="AV112" s="23">
        <f>EXP(-LN(2)/25)*AV111+(1-EXP(-LN(2)/25))/(LN(2)/25)*Calculateur!AQ112*Calculateur!AS112*VLOOKUP('Données projet'!$B$10,Paramètres!$A$1:$I$89,3,0)*0.475*44/12</f>
        <v>0</v>
      </c>
      <c r="AW112" s="23">
        <f>EXP(-LN(2)/2)*AW111+(1-EXP(-LN(2)/2))/(LN(2)/2)*AQ112*AT112*VLOOKUP('Données projet'!$B$10,Paramètres!$A$1:$I$89,3,0)*0.475*44/12</f>
        <v>0</v>
      </c>
      <c r="AX112" s="23">
        <f t="shared" si="60"/>
        <v>0</v>
      </c>
      <c r="AY112" s="76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5.2</v>
      </c>
      <c r="BD112" s="13">
        <f>IF('Données projet'!$A$88&gt;35,BD111+BC112-BL111,IF(A112&lt;'Données projet'!$A$88,$BA$205^A112,IF(A112='Données projet'!$A$88,'Données projet'!$B$88,BD111+BC112-BL111)))</f>
        <v>407.7999999999999</v>
      </c>
      <c r="BE112" s="14">
        <f>BD112*VLOOKUP('Données projet'!$B$11,Paramètres!$A$1:$I$89,3,0)*VLOOKUP('Données projet'!$B$11,Paramètres!$A$1:$I$89,5,0)</f>
        <v>368.97743999999989</v>
      </c>
      <c r="BF112" s="14">
        <f t="shared" si="91"/>
        <v>85.458073845884769</v>
      </c>
      <c r="BG112" s="22">
        <f t="shared" si="61"/>
        <v>791.47518661491574</v>
      </c>
      <c r="BH112" s="60">
        <f t="shared" si="62"/>
        <v>1084.8085199482491</v>
      </c>
      <c r="BI112" s="60">
        <f ca="1">AVERAGE(OFFSET($BH$3,0,0,'Données projet'!$E$11+1,1))-AVERAGE(OFFSET($H$3,0,0,'Données projet'!$E$11+1,1))</f>
        <v>529.25712986118265</v>
      </c>
      <c r="BJ112" s="60">
        <f t="shared" si="92"/>
        <v>278.21741231699929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>
        <f>EXP(-LN(2)/35)*BP111+(1-EXP(-LN(2)/35))/(LN(2)/35)*BL112*BM112*VLOOKUP('Données projet'!$B$11,Paramètres!$A$1:$I$89,3,0)*0.475*44/12</f>
        <v>0</v>
      </c>
      <c r="BQ112" s="23">
        <f>EXP(-LN(2)/25)*BQ111+(1-EXP(-LN(2)/25))/(LN(2)/25)*Calculateur!BL112*Calculateur!BN112*VLOOKUP('Données projet'!$B$11,Paramètres!$A$1:$I$89,3,0)*0.475*44/12</f>
        <v>0</v>
      </c>
      <c r="BR112" s="23">
        <f>EXP(-LN(2)/2)*BR111+(1-EXP(-LN(2)/2))/(LN(2)/2)*BL112*BO112*VLOOKUP('Données projet'!$B$11,Paramètres!$A$1:$I$89,3,0)*0.475*44/12</f>
        <v>0</v>
      </c>
      <c r="BS112" s="24">
        <f t="shared" si="63"/>
        <v>0</v>
      </c>
      <c r="BT112" s="77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5.2</v>
      </c>
      <c r="BY112" s="13">
        <f>IF('Données projet'!$A$114&gt;35,BY111+BX112-CG111,IF(A112&lt;'Données projet'!$A$114,$BV$205^A112,IF(A112='Données projet'!$A$114,'Données projet'!$B$114,BY111+BX112-CG111)))</f>
        <v>407.7999999999999</v>
      </c>
      <c r="BZ112" s="14">
        <f>BY112*VLOOKUP('Données projet'!$B$12,Paramètres!$A$1:$I$89,3,0)*VLOOKUP('Données projet'!$B$12,Paramètres!$A$1:$I$89,5,0)</f>
        <v>413.50919999999991</v>
      </c>
      <c r="CA112" s="14">
        <f t="shared" si="93"/>
        <v>94.510131355114737</v>
      </c>
      <c r="CB112" s="22">
        <f t="shared" si="64"/>
        <v>884.80033544349135</v>
      </c>
      <c r="CC112" s="60">
        <f t="shared" si="65"/>
        <v>1178.1336687768246</v>
      </c>
      <c r="CD112" s="60">
        <f ca="1">AVERAGE(OFFSET($CC$3,0,0,'Données projet'!$E$12+1,1))-AVERAGE(OFFSET($H$3,0,0,'Données projet'!$E$12+1,1))</f>
        <v>587.74247372331615</v>
      </c>
      <c r="CE112" s="60">
        <f t="shared" si="94"/>
        <v>306.61893266146666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>
        <f>EXP(-LN(2)/35)*CK111+(1-EXP(-LN(2)/35))/(LN(2)/35)*CG112*CH112*VLOOKUP('Données projet'!$B$12,Paramètres!$A$1:$I$89,3,0)*0.475*44/12</f>
        <v>0</v>
      </c>
      <c r="CL112" s="23">
        <f>EXP(-LN(2)/25)*CL111+(1-EXP(-LN(2)/25))/(LN(2)/25)*Calculateur!CG112*Calculateur!CI112*VLOOKUP('Données projet'!$B$12,Paramètres!$A$1:$I$89,3,0)*0.475*44/12</f>
        <v>0</v>
      </c>
      <c r="CM112" s="23">
        <f>EXP(-LN(2)/2)*CM111+(1-EXP(-LN(2)/2))/(LN(2)/2)*CG112*CJ112*VLOOKUP('Données projet'!$B$12,Paramètres!$A$1:$I$89,3,0)*0.475*44/12</f>
        <v>0</v>
      </c>
      <c r="CN112" s="24">
        <f t="shared" si="66"/>
        <v>0</v>
      </c>
      <c r="CO112" s="77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5.2</v>
      </c>
      <c r="CT112" s="13">
        <f>IF('Données projet'!$A$140&gt;35,CT111+CS112-DB111,IF(A112&lt;'Données projet'!$A$140,$CQ$205^A112,IF(A112='Données projet'!$A$140,'Données projet'!$B$140,CT111+CS112-DB111)))</f>
        <v>407.7999999999999</v>
      </c>
      <c r="CU112" s="18">
        <f>CT112*VLOOKUP('Données projet'!$B$13,Paramètres!$A$1:$I$89,3,0)*VLOOKUP('Données projet'!$B$13,Paramètres!$A$1:$I$89,5,0)</f>
        <v>438.95591999999982</v>
      </c>
      <c r="CV112" s="14">
        <f t="shared" si="95"/>
        <v>99.631158761994499</v>
      </c>
      <c r="CW112" s="22">
        <f t="shared" si="67"/>
        <v>938.03916217714016</v>
      </c>
      <c r="CX112" s="60">
        <f t="shared" si="68"/>
        <v>1231.3724955104735</v>
      </c>
      <c r="CY112" s="60">
        <f ca="1">AVERAGE(OFFSET($CX$3,0,0,'Données projet'!$E$13+1,1))-AVERAGE(OFFSET($H$3,0,0,'Données projet'!$E$13+1,1))</f>
        <v>621.10465023992288</v>
      </c>
      <c r="CZ112" s="60">
        <f t="shared" si="96"/>
        <v>322.81767004794284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>
        <f>EXP(-LN(2)/35)*DF111+(1-EXP(-LN(2)/35))/(LN(2)/35)*DB112*DC112*VLOOKUP('Données projet'!$B$13,Paramètres!$A$1:$I$89,3,0)*0.475*44/12</f>
        <v>0</v>
      </c>
      <c r="DG112" s="23">
        <f>EXP(-LN(2)/25)*DG111+(1-EXP(-LN(2)/25))/(LN(2)/25)*Calculateur!DB112*Calculateur!DD112*VLOOKUP('Données projet'!$B$13,Paramètres!$A$1:$I$89,3,0)*0.475*44/12</f>
        <v>0</v>
      </c>
      <c r="DH112" s="23">
        <f>EXP(-LN(2)/2)*DH111+(1-EXP(-LN(2)/2))/(LN(2)/2)*DB112*DE112*VLOOKUP('Données projet'!$B$13,Paramètres!$A$1:$I$89,3,0)*0.475*44/12</f>
        <v>0</v>
      </c>
      <c r="DI112" s="24">
        <f t="shared" si="69"/>
        <v>0</v>
      </c>
      <c r="DJ112" s="77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5.2</v>
      </c>
      <c r="DO112" s="13">
        <f>IF('Données projet'!$A$166&gt;35,DO111+DN112-DW111,IF(A112&lt;'Données projet'!$A$166,$DL$205^A112,IF(A112='Données projet'!$A$166,'Données projet'!$B$166,DO111+DN112-DW111)))</f>
        <v>407.7999999999999</v>
      </c>
      <c r="DP112" s="18">
        <f>DO112*VLOOKUP('Données projet'!$B$14,Paramètres!$A$1:$I$89,3,0)*VLOOKUP('Données projet'!$B$14,Paramètres!$A$1:$I$89,5,0)</f>
        <v>394.42415999999992</v>
      </c>
      <c r="DQ112" s="14">
        <f t="shared" si="97"/>
        <v>90.645327349106196</v>
      </c>
      <c r="DR112" s="22">
        <f t="shared" si="70"/>
        <v>844.82935713302641</v>
      </c>
      <c r="DS112" s="60">
        <f t="shared" si="71"/>
        <v>1138.1626904663597</v>
      </c>
      <c r="DT112" s="60">
        <f ca="1">AVERAGE(OFFSET($DS$3,0,0,'Données projet'!$E$14+1,1))-AVERAGE(OFFSET($H$3,0,0,'Données projet'!$E$14+1,1))</f>
        <v>562.69380557620775</v>
      </c>
      <c r="DU112" s="60">
        <f t="shared" si="98"/>
        <v>294.45557293177131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>
        <f>EXP(-LN(2)/35)*EA111+(1-EXP(-LN(2)/35))/(LN(2)/35)*DW112*DX112*VLOOKUP('Données projet'!$B$14,Paramètres!$A$1:$I$89,3,0)*0.475*44/12</f>
        <v>0</v>
      </c>
      <c r="EB112" s="23">
        <f>EXP(-LN(2)/25)*EB111+(1-EXP(-LN(2)/25))/(LN(2)/25)*Calculateur!DW112*Calculateur!DY112*VLOOKUP('Données projet'!$B$14,Paramètres!$A$1:$I$89,3,0)*0.475*44/12</f>
        <v>0</v>
      </c>
      <c r="EC112" s="23">
        <f>EXP(-LN(2)/2)*EC111+(1-EXP(-LN(2)/2))/(LN(2)/2)*DW112*DZ112*VLOOKUP('Données projet'!$B$14,Paramètres!$A$1:$I$89,3,0)*0.475*44/12</f>
        <v>0</v>
      </c>
      <c r="ED112" s="24">
        <f t="shared" si="72"/>
        <v>0</v>
      </c>
      <c r="EE112" s="77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1.1368683772161603E-13</v>
      </c>
      <c r="EK112" s="18">
        <f>EJ112*VLOOKUP('Données projet'!$B$15,Paramètres!$A$1:$I$89,3,0)*VLOOKUP('Données projet'!$B$15,Paramètres!$A$1:$I$89,5,0)</f>
        <v>8.8675733422860506E-14</v>
      </c>
      <c r="EL112" s="14">
        <f t="shared" si="99"/>
        <v>1.3509285393066301E-12</v>
      </c>
      <c r="EM112" s="22">
        <f t="shared" si="73"/>
        <v>2.5073107750038623E-12</v>
      </c>
      <c r="EN112" s="60">
        <f t="shared" si="74"/>
        <v>293.33333333333582</v>
      </c>
      <c r="EO112" s="60">
        <f ca="1">AVERAGE(OFFSET($EN$3,0,0,'Données projet'!$E$15+1,1))-AVERAGE(OFFSET($H$3,0,0,'Données projet'!$E$15+1,1))</f>
        <v>292.57482726862594</v>
      </c>
      <c r="EP112" s="60">
        <f t="shared" si="100"/>
        <v>283.48738729114024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>
        <f>EXP(-LN(2)/35)*EV111+(1-EXP(-LN(2)/35))/(LN(2)/35)*ER112*ES112*VLOOKUP('Données projet'!$B$15,Paramètres!$A$1:$I$89,3,0)*0.475*44/12</f>
        <v>0</v>
      </c>
      <c r="EW112" s="23">
        <f>EXP(-LN(2)/25)*EW111+(1-EXP(-LN(2)/25))/(LN(2)/25)*Calculateur!ER112*Calculateur!ET112*VLOOKUP('Données projet'!$B$15,Paramètres!$A$1:$I$89,3,0)*0.475*44/12</f>
        <v>0</v>
      </c>
      <c r="EX112" s="23">
        <f>EXP(-LN(2)/2)*EX111+(1-EXP(-LN(2)/2))/(LN(2)/2)*ER112*EU112*VLOOKUP('Données projet'!$B$15,Paramètres!$A$1:$I$89,3,0)*0.475*44/12</f>
        <v>0</v>
      </c>
      <c r="EY112" s="24">
        <f t="shared" si="75"/>
        <v>0</v>
      </c>
      <c r="EZ112" s="77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0" t="e">
        <f t="shared" si="77"/>
        <v>#N/A</v>
      </c>
      <c r="FJ112" s="60" t="e">
        <f ca="1">AVERAGE(OFFSET($FI$3,0,0,'Données projet'!$E$16+1,1))-AVERAGE(OFFSET($H$3,0,0,'Données projet'!$E$16+1,1))</f>
        <v>#N/A</v>
      </c>
      <c r="FK112" s="60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77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0" t="e">
        <f t="shared" si="80"/>
        <v>#N/A</v>
      </c>
      <c r="GE112" s="60" t="e">
        <f ca="1">AVERAGE(OFFSET($GD$3,0,0,'Données projet'!$E$17+1,1))-AVERAGE(OFFSET($H$3,0,0,'Données projet'!$E$17+1,1))</f>
        <v>#N/A</v>
      </c>
      <c r="GF112" s="60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77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0" t="e">
        <f t="shared" si="83"/>
        <v>#N/A</v>
      </c>
      <c r="GZ112" s="60" t="e">
        <f ca="1">AVERAGE(OFFSET($GY$3,0,0,'Données projet'!$E$18+1,1))-AVERAGE(OFFSET($H$3,0,0,'Données projet'!$E$18+1,1))</f>
        <v>#N/A</v>
      </c>
      <c r="HA112" s="60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25">
      <c r="A113" s="11">
        <f t="shared" si="85"/>
        <v>110</v>
      </c>
      <c r="B113" s="74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2">
        <f t="shared" si="86"/>
        <v>0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0</v>
      </c>
      <c r="H113" s="67">
        <f t="shared" si="56"/>
        <v>256.66666666666669</v>
      </c>
      <c r="I113" s="7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>
        <f>VLOOKUP(A113,'Données projet'!$A$35:$I$55,2,0)</f>
        <v>279.4871794871795</v>
      </c>
      <c r="L113" s="13">
        <f>VLOOKUP(A113,'Données projet'!$A$35:$I$55,9,0)</f>
        <v>3.3974358974359005</v>
      </c>
      <c r="M113" s="13">
        <f t="array" ref="M113">INDEX(L:L,MIN(IF(ISNUMBER(L113:L309),ROW(L113:L309),"")))</f>
        <v>3.3974358974359005</v>
      </c>
      <c r="N113" s="14">
        <f>IF('Données projet'!$A$36&gt;35,N112+M113-V112,IF(A113&lt;'Données projet'!$A$36,$K$205^A113,IF(A113='Données projet'!$A$36,'Données projet'!$B$36,N112+M113-V112)))</f>
        <v>279.48717948717967</v>
      </c>
      <c r="O113" s="14">
        <f>N113*VLOOKUP('Données projet'!$B$9,Paramètres!$A$1:$I$89,3,0)*VLOOKUP('Données projet'!$B$9,Paramètres!$A$1:$I$89,5,0)</f>
        <v>265.96000000000015</v>
      </c>
      <c r="P113" s="14">
        <f t="shared" si="87"/>
        <v>63.991128481042374</v>
      </c>
      <c r="Q113" s="22">
        <f t="shared" si="107"/>
        <v>574.66488210448233</v>
      </c>
      <c r="R113" s="60">
        <f t="shared" si="55"/>
        <v>867.99821543781559</v>
      </c>
      <c r="S113" s="60">
        <f ca="1">AVERAGE(OFFSET($R$3,0,0,'Données projet'!$E$9+1,1))-AVERAGE(OFFSET($H$3,0,0,'Données projet'!$E$9+1,1))</f>
        <v>403.49781966317852</v>
      </c>
      <c r="T113" s="60">
        <f t="shared" si="88"/>
        <v>326.06674572505409</v>
      </c>
      <c r="U113" s="16">
        <f>IF(ISNA(VLOOKUP(A113,'Données projet'!$A$35:$I$55,3,0)),0,VLOOKUP(A113,'Données projet'!$A$35:$I$55,3,0))</f>
        <v>10</v>
      </c>
      <c r="V113" s="16">
        <f>IF(ISNA(VLOOKUP(A113,'Données projet'!$A$35:$I$55,4,0)),0,VLOOKUP(A113,'Données projet'!$A$35:$I$55,4,0))</f>
        <v>25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0</v>
      </c>
      <c r="AA113" s="23">
        <f>EXP(-LN(2)/25)*AA112+(1-EXP(-LN(2)/25))/(LN(2)/25)*Calculateur!V113*Calculateur!X113*VLOOKUP('Données projet'!$B$9,Paramètres!$A$1:$I$89,3,0)*0.475*44/12</f>
        <v>0</v>
      </c>
      <c r="AB113" s="23">
        <f>EXP(-LN(2)/2)*AB112+(1-EXP(-LN(2)/2))/(LN(2)/2)*V113*Y113*VLOOKUP('Données projet'!$B$9,Paramètres!$A$1:$I$89,3,0)*0.475*44/12</f>
        <v>0</v>
      </c>
      <c r="AC113" s="24">
        <f t="shared" si="57"/>
        <v>0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-1.1368683772161603E-13</v>
      </c>
      <c r="AJ113" s="14">
        <f>AI113*VLOOKUP('Données projet'!$B$10,Paramètres!$A$1:$I$89,3,0)*VLOOKUP('Données projet'!$B$10,Paramètres!$A$1:$I$89,5,0)</f>
        <v>-9.9316821433603781E-14</v>
      </c>
      <c r="AK113" s="14" t="e">
        <f t="shared" si="89"/>
        <v>#NUM!</v>
      </c>
      <c r="AL113" s="22" t="e">
        <f t="shared" si="58"/>
        <v>#NUM!</v>
      </c>
      <c r="AM113" s="60" t="e">
        <f t="shared" si="59"/>
        <v>#NUM!</v>
      </c>
      <c r="AN113" s="60">
        <f ca="1">AVERAGE(OFFSET($AM$3,0,0,'Données projet'!$E$10+1,1))-AVERAGE(OFFSET($H$3,0,0,'Données projet'!$E$10+1,1))</f>
        <v>274.66236526869056</v>
      </c>
      <c r="AO113" s="60">
        <f t="shared" si="90"/>
        <v>256.90876395053073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>
        <f>EXP(-LN(2)/35)*AU112+(1-EXP(-LN(2)/35))/(LN(2)/35)*AQ113*AR113*VLOOKUP('Données projet'!$B$10,Paramètres!$A$1:$I$89,3,0)*0.475*44/12</f>
        <v>0</v>
      </c>
      <c r="AV113" s="23">
        <f>EXP(-LN(2)/25)*AV112+(1-EXP(-LN(2)/25))/(LN(2)/25)*Calculateur!AQ113*Calculateur!AS113*VLOOKUP('Données projet'!$B$10,Paramètres!$A$1:$I$89,3,0)*0.475*44/12</f>
        <v>0</v>
      </c>
      <c r="AW113" s="23">
        <f>EXP(-LN(2)/2)*AW112+(1-EXP(-LN(2)/2))/(LN(2)/2)*AQ113*AT113*VLOOKUP('Données projet'!$B$10,Paramètres!$A$1:$I$89,3,0)*0.475*44/12</f>
        <v>0</v>
      </c>
      <c r="AX113" s="23">
        <f t="shared" si="60"/>
        <v>0</v>
      </c>
      <c r="AY113" s="76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>
        <f>VLOOKUP(A113,'Données projet'!$A$87:$I$107,2,0)</f>
        <v>413</v>
      </c>
      <c r="BB113" s="13">
        <f>VLOOKUP(A113,'Données projet'!$A$87:$I$107,9,0)</f>
        <v>5.2</v>
      </c>
      <c r="BC113" s="13">
        <f t="array" ref="BC113">INDEX(BB:BB,MIN(IF(ISNUMBER(BB113:BB309),ROW(BB113:BB309),"")))</f>
        <v>5.2</v>
      </c>
      <c r="BD113" s="13">
        <f>IF('Données projet'!$A$88&gt;35,BD112+BC113-BL112,IF(A113&lt;'Données projet'!$A$88,$BA$205^A113,IF(A113='Données projet'!$A$88,'Données projet'!$B$88,BD112+BC113-BL112)))</f>
        <v>412.99999999999989</v>
      </c>
      <c r="BE113" s="14">
        <f>BD113*VLOOKUP('Données projet'!$B$11,Paramètres!$A$1:$I$89,3,0)*VLOOKUP('Données projet'!$B$11,Paramètres!$A$1:$I$89,5,0)</f>
        <v>373.68239999999986</v>
      </c>
      <c r="BF113" s="14">
        <f t="shared" si="91"/>
        <v>86.420226600704183</v>
      </c>
      <c r="BG113" s="22">
        <f t="shared" si="61"/>
        <v>801.34540799622619</v>
      </c>
      <c r="BH113" s="60">
        <f t="shared" si="62"/>
        <v>1094.6787413295594</v>
      </c>
      <c r="BI113" s="60">
        <f ca="1">AVERAGE(OFFSET($BH$3,0,0,'Données projet'!$E$11+1,1))-AVERAGE(OFFSET($H$3,0,0,'Données projet'!$E$11+1,1))</f>
        <v>529.25712986118265</v>
      </c>
      <c r="BJ113" s="60">
        <f t="shared" si="92"/>
        <v>278.21741231699929</v>
      </c>
      <c r="BK113" s="16">
        <f>IF(ISNA(VLOOKUP(A113,'Données projet'!$A$87:$I$107,3,0)),0,VLOOKUP(A113,'Données projet'!$A$87:$I$107,3,0))</f>
        <v>8</v>
      </c>
      <c r="BL113" s="16">
        <f>IF(ISNA(VLOOKUP(A113,'Données projet'!$A$87:$I$107,4,0)),0,VLOOKUP(A113,'Données projet'!$A$87:$I$107,4,0))</f>
        <v>106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>
        <f>EXP(-LN(2)/35)*BP112+(1-EXP(-LN(2)/35))/(LN(2)/35)*BL113*BM113*VLOOKUP('Données projet'!$B$11,Paramètres!$A$1:$I$89,3,0)*0.475*44/12</f>
        <v>0</v>
      </c>
      <c r="BQ113" s="23">
        <f>EXP(-LN(2)/25)*BQ112+(1-EXP(-LN(2)/25))/(LN(2)/25)*Calculateur!BL113*Calculateur!BN113*VLOOKUP('Données projet'!$B$11,Paramètres!$A$1:$I$89,3,0)*0.475*44/12</f>
        <v>0</v>
      </c>
      <c r="BR113" s="23">
        <f>EXP(-LN(2)/2)*BR112+(1-EXP(-LN(2)/2))/(LN(2)/2)*BL113*BO113*VLOOKUP('Données projet'!$B$11,Paramètres!$A$1:$I$89,3,0)*0.475*44/12</f>
        <v>0</v>
      </c>
      <c r="BS113" s="24">
        <f t="shared" si="63"/>
        <v>0</v>
      </c>
      <c r="BT113" s="77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>
        <f>VLOOKUP(A113,'Données projet'!$A$113:$I$133,2,0)</f>
        <v>413</v>
      </c>
      <c r="BW113" s="13">
        <f>VLOOKUP(A113,'Données projet'!$A$113:$I$133,9,0)</f>
        <v>5.2</v>
      </c>
      <c r="BX113" s="13">
        <f t="array" ref="BX113">INDEX(BW:BW,MIN(IF(ISNUMBER(BW113:BW309),ROW(BW113:BW309),"")))</f>
        <v>5.2</v>
      </c>
      <c r="BY113" s="13">
        <f>IF('Données projet'!$A$114&gt;35,BY112+BX113-CG112,IF(A113&lt;'Données projet'!$A$114,$BV$205^A113,IF(A113='Données projet'!$A$114,'Données projet'!$B$114,BY112+BX113-CG112)))</f>
        <v>412.99999999999989</v>
      </c>
      <c r="BZ113" s="14">
        <f>BY113*VLOOKUP('Données projet'!$B$12,Paramètres!$A$1:$I$89,3,0)*VLOOKUP('Données projet'!$B$12,Paramètres!$A$1:$I$89,5,0)</f>
        <v>418.78199999999993</v>
      </c>
      <c r="CA113" s="14">
        <f t="shared" si="93"/>
        <v>95.574199138875656</v>
      </c>
      <c r="CB113" s="22">
        <f t="shared" si="64"/>
        <v>895.83704683354154</v>
      </c>
      <c r="CC113" s="60">
        <f t="shared" si="65"/>
        <v>1189.1703801668748</v>
      </c>
      <c r="CD113" s="60">
        <f ca="1">AVERAGE(OFFSET($CC$3,0,0,'Données projet'!$E$12+1,1))-AVERAGE(OFFSET($H$3,0,0,'Données projet'!$E$12+1,1))</f>
        <v>587.74247372331615</v>
      </c>
      <c r="CE113" s="60">
        <f t="shared" si="94"/>
        <v>306.61893266146666</v>
      </c>
      <c r="CF113" s="16">
        <f>IF(ISNA(VLOOKUP(A113,'Données projet'!$A$113:$I$133,3,0)),0,VLOOKUP(A113,'Données projet'!$A$113:$I$133,3,0))</f>
        <v>8</v>
      </c>
      <c r="CG113" s="16">
        <f>IF(ISNA(VLOOKUP(A113,'Données projet'!$A$113:$I$133,4,0)),0,VLOOKUP(A113,'Données projet'!$A$113:$I$133,4,0))</f>
        <v>106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>
        <f>EXP(-LN(2)/35)*CK112+(1-EXP(-LN(2)/35))/(LN(2)/35)*CG113*CH113*VLOOKUP('Données projet'!$B$12,Paramètres!$A$1:$I$89,3,0)*0.475*44/12</f>
        <v>0</v>
      </c>
      <c r="CL113" s="23">
        <f>EXP(-LN(2)/25)*CL112+(1-EXP(-LN(2)/25))/(LN(2)/25)*Calculateur!CG113*Calculateur!CI113*VLOOKUP('Données projet'!$B$12,Paramètres!$A$1:$I$89,3,0)*0.475*44/12</f>
        <v>0</v>
      </c>
      <c r="CM113" s="23">
        <f>EXP(-LN(2)/2)*CM112+(1-EXP(-LN(2)/2))/(LN(2)/2)*CG113*CJ113*VLOOKUP('Données projet'!$B$12,Paramètres!$A$1:$I$89,3,0)*0.475*44/12</f>
        <v>0</v>
      </c>
      <c r="CN113" s="24">
        <f t="shared" si="66"/>
        <v>0</v>
      </c>
      <c r="CO113" s="77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>
        <f>VLOOKUP(A113,'Données projet'!$A$139:$I$159,2,0)</f>
        <v>413</v>
      </c>
      <c r="CR113" s="13">
        <f>VLOOKUP(A113,'Données projet'!$A$139:$I$159,9,0)</f>
        <v>5.2</v>
      </c>
      <c r="CS113" s="13">
        <f t="array" ref="CS113">INDEX(CR:CR,MIN(IF(ISNUMBER(CR113:CR309),ROW(CR113:CR309),"")))</f>
        <v>5.2</v>
      </c>
      <c r="CT113" s="13">
        <f>IF('Données projet'!$A$140&gt;35,CT112+CS113-DB112,IF(A113&lt;'Données projet'!$A$140,$CQ$205^A113,IF(A113='Données projet'!$A$140,'Données projet'!$B$140,CT112+CS113-DB112)))</f>
        <v>412.99999999999989</v>
      </c>
      <c r="CU113" s="18">
        <f>CT113*VLOOKUP('Données projet'!$B$13,Paramètres!$A$1:$I$89,3,0)*VLOOKUP('Données projet'!$B$13,Paramètres!$A$1:$I$89,5,0)</f>
        <v>444.55319999999989</v>
      </c>
      <c r="CV113" s="14">
        <f t="shared" si="95"/>
        <v>100.75288301290118</v>
      </c>
      <c r="CW113" s="22">
        <f t="shared" si="67"/>
        <v>949.74142791413612</v>
      </c>
      <c r="CX113" s="60">
        <f t="shared" si="68"/>
        <v>1243.0747612474695</v>
      </c>
      <c r="CY113" s="60">
        <f ca="1">AVERAGE(OFFSET($CX$3,0,0,'Données projet'!$E$13+1,1))-AVERAGE(OFFSET($H$3,0,0,'Données projet'!$E$13+1,1))</f>
        <v>621.10465023992288</v>
      </c>
      <c r="CZ113" s="60">
        <f t="shared" si="96"/>
        <v>322.81767004794284</v>
      </c>
      <c r="DA113" s="16">
        <f>IF(ISNA(VLOOKUP(A113,'Données projet'!$A$139:$I$159,3,0)),0,VLOOKUP(A113,'Données projet'!$A$139:$I$159,3,0))</f>
        <v>8</v>
      </c>
      <c r="DB113" s="16">
        <f>IF(ISNA(VLOOKUP(A113,'Données projet'!$A$139:$I$159,4,0)),0,VLOOKUP(A113,'Données projet'!$A$139:$I$159,4,0))</f>
        <v>106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>
        <f>EXP(-LN(2)/35)*DF112+(1-EXP(-LN(2)/35))/(LN(2)/35)*DB113*DC113*VLOOKUP('Données projet'!$B$13,Paramètres!$A$1:$I$89,3,0)*0.475*44/12</f>
        <v>0</v>
      </c>
      <c r="DG113" s="23">
        <f>EXP(-LN(2)/25)*DG112+(1-EXP(-LN(2)/25))/(LN(2)/25)*Calculateur!DB113*Calculateur!DD113*VLOOKUP('Données projet'!$B$13,Paramètres!$A$1:$I$89,3,0)*0.475*44/12</f>
        <v>0</v>
      </c>
      <c r="DH113" s="23">
        <f>EXP(-LN(2)/2)*DH112+(1-EXP(-LN(2)/2))/(LN(2)/2)*DB113*DE113*VLOOKUP('Données projet'!$B$13,Paramètres!$A$1:$I$89,3,0)*0.475*44/12</f>
        <v>0</v>
      </c>
      <c r="DI113" s="24">
        <f t="shared" si="69"/>
        <v>0</v>
      </c>
      <c r="DJ113" s="77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>
        <f>VLOOKUP(A113,'Données projet'!$A$165:$I$185,2,0)</f>
        <v>413</v>
      </c>
      <c r="DM113" s="13">
        <f>VLOOKUP(A113,'Données projet'!$A$165:$I$185,9,0)</f>
        <v>5.2</v>
      </c>
      <c r="DN113" s="13">
        <f t="array" ref="DN113">INDEX(DM:DM,MIN(IF(ISNUMBER(DM113:DM309),ROW(DM113:DM309),"")))</f>
        <v>5.2</v>
      </c>
      <c r="DO113" s="13">
        <f>IF('Données projet'!$A$166&gt;35,DO112+DN113-DW112,IF(A113&lt;'Données projet'!$A$166,$DL$205^A113,IF(A113='Données projet'!$A$166,'Données projet'!$B$166,DO112+DN113-DW112)))</f>
        <v>412.99999999999989</v>
      </c>
      <c r="DP113" s="18">
        <f>DO113*VLOOKUP('Données projet'!$B$14,Paramètres!$A$1:$I$89,3,0)*VLOOKUP('Données projet'!$B$14,Paramètres!$A$1:$I$89,5,0)</f>
        <v>399.45359999999994</v>
      </c>
      <c r="DQ113" s="14">
        <f t="shared" si="97"/>
        <v>91.665882195424544</v>
      </c>
      <c r="DR113" s="22">
        <f t="shared" si="70"/>
        <v>855.36643149036433</v>
      </c>
      <c r="DS113" s="60">
        <f t="shared" si="71"/>
        <v>1148.6997648236977</v>
      </c>
      <c r="DT113" s="60">
        <f ca="1">AVERAGE(OFFSET($DS$3,0,0,'Données projet'!$E$14+1,1))-AVERAGE(OFFSET($H$3,0,0,'Données projet'!$E$14+1,1))</f>
        <v>562.69380557620775</v>
      </c>
      <c r="DU113" s="60">
        <f t="shared" si="98"/>
        <v>294.45557293177131</v>
      </c>
      <c r="DV113" s="16">
        <f>IF(ISNA(VLOOKUP(A113,'Données projet'!$A$165:$I$185,3,0)),0,VLOOKUP(A113,'Données projet'!$A$165:$I$185,3,0))</f>
        <v>8</v>
      </c>
      <c r="DW113" s="16">
        <f>IF(ISNA(VLOOKUP(A113,'Données projet'!$A$165:$I$185,4,0)),0,VLOOKUP(A113,'Données projet'!$A$165:$I$185,4,0))</f>
        <v>106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>
        <f>EXP(-LN(2)/35)*EA112+(1-EXP(-LN(2)/35))/(LN(2)/35)*DW113*DX113*VLOOKUP('Données projet'!$B$14,Paramètres!$A$1:$I$89,3,0)*0.475*44/12</f>
        <v>0</v>
      </c>
      <c r="EB113" s="23">
        <f>EXP(-LN(2)/25)*EB112+(1-EXP(-LN(2)/25))/(LN(2)/25)*Calculateur!DW113*Calculateur!DY113*VLOOKUP('Données projet'!$B$14,Paramètres!$A$1:$I$89,3,0)*0.475*44/12</f>
        <v>0</v>
      </c>
      <c r="EC113" s="23">
        <f>EXP(-LN(2)/2)*EC112+(1-EXP(-LN(2)/2))/(LN(2)/2)*DW113*DZ113*VLOOKUP('Données projet'!$B$14,Paramètres!$A$1:$I$89,3,0)*0.475*44/12</f>
        <v>0</v>
      </c>
      <c r="ED113" s="24">
        <f t="shared" si="72"/>
        <v>0</v>
      </c>
      <c r="EE113" s="77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1.1368683772161603E-13</v>
      </c>
      <c r="EK113" s="18">
        <f>EJ113*VLOOKUP('Données projet'!$B$15,Paramètres!$A$1:$I$89,3,0)*VLOOKUP('Données projet'!$B$15,Paramètres!$A$1:$I$89,5,0)</f>
        <v>8.8675733422860506E-14</v>
      </c>
      <c r="EL113" s="14">
        <f t="shared" si="99"/>
        <v>1.3509285393066301E-12</v>
      </c>
      <c r="EM113" s="22">
        <f t="shared" si="73"/>
        <v>2.5073107750038623E-12</v>
      </c>
      <c r="EN113" s="60">
        <f t="shared" si="74"/>
        <v>293.33333333333582</v>
      </c>
      <c r="EO113" s="60">
        <f ca="1">AVERAGE(OFFSET($EN$3,0,0,'Données projet'!$E$15+1,1))-AVERAGE(OFFSET($H$3,0,0,'Données projet'!$E$15+1,1))</f>
        <v>292.57482726862594</v>
      </c>
      <c r="EP113" s="60">
        <f t="shared" si="100"/>
        <v>283.48738729114024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>
        <f>EXP(-LN(2)/35)*EV112+(1-EXP(-LN(2)/35))/(LN(2)/35)*ER113*ES113*VLOOKUP('Données projet'!$B$15,Paramètres!$A$1:$I$89,3,0)*0.475*44/12</f>
        <v>0</v>
      </c>
      <c r="EW113" s="23">
        <f>EXP(-LN(2)/25)*EW112+(1-EXP(-LN(2)/25))/(LN(2)/25)*Calculateur!ER113*Calculateur!ET113*VLOOKUP('Données projet'!$B$15,Paramètres!$A$1:$I$89,3,0)*0.475*44/12</f>
        <v>0</v>
      </c>
      <c r="EX113" s="23">
        <f>EXP(-LN(2)/2)*EX112+(1-EXP(-LN(2)/2))/(LN(2)/2)*ER113*EU113*VLOOKUP('Données projet'!$B$15,Paramètres!$A$1:$I$89,3,0)*0.475*44/12</f>
        <v>0</v>
      </c>
      <c r="EY113" s="24">
        <f t="shared" si="75"/>
        <v>0</v>
      </c>
      <c r="EZ113" s="77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0" t="e">
        <f t="shared" si="77"/>
        <v>#N/A</v>
      </c>
      <c r="FJ113" s="60" t="e">
        <f ca="1">AVERAGE(OFFSET($FI$3,0,0,'Données projet'!$E$16+1,1))-AVERAGE(OFFSET($H$3,0,0,'Données projet'!$E$16+1,1))</f>
        <v>#N/A</v>
      </c>
      <c r="FK113" s="60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77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0" t="e">
        <f t="shared" si="80"/>
        <v>#N/A</v>
      </c>
      <c r="GE113" s="60" t="e">
        <f ca="1">AVERAGE(OFFSET($GD$3,0,0,'Données projet'!$E$17+1,1))-AVERAGE(OFFSET($H$3,0,0,'Données projet'!$E$17+1,1))</f>
        <v>#N/A</v>
      </c>
      <c r="GF113" s="60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77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0" t="e">
        <f t="shared" si="83"/>
        <v>#N/A</v>
      </c>
      <c r="GZ113" s="60" t="e">
        <f ca="1">AVERAGE(OFFSET($GY$3,0,0,'Données projet'!$E$18+1,1))-AVERAGE(OFFSET($H$3,0,0,'Données projet'!$E$18+1,1))</f>
        <v>#N/A</v>
      </c>
      <c r="HA113" s="60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25">
      <c r="A114" s="11">
        <f t="shared" si="85"/>
        <v>111</v>
      </c>
      <c r="B114" s="74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2">
        <f t="shared" si="86"/>
        <v>0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0</v>
      </c>
      <c r="H114" s="67">
        <f t="shared" si="56"/>
        <v>256.66666666666669</v>
      </c>
      <c r="I114" s="7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3.141025641025641</v>
      </c>
      <c r="N114" s="14">
        <f>IF('Données projet'!$A$36&gt;35,N113+M114-V113,IF(A114&lt;'Données projet'!$A$36,$K$205^A114,IF(A114='Données projet'!$A$36,'Données projet'!$B$36,N113+M114-V113)))</f>
        <v>257.62820512820531</v>
      </c>
      <c r="O114" s="14">
        <f>N114*VLOOKUP('Données projet'!$B$9,Paramètres!$A$1:$I$89,3,0)*VLOOKUP('Données projet'!$B$9,Paramètres!$A$1:$I$89,5,0)</f>
        <v>245.15900000000016</v>
      </c>
      <c r="P114" s="14">
        <f t="shared" si="87"/>
        <v>59.548136793550292</v>
      </c>
      <c r="Q114" s="22">
        <f t="shared" si="107"/>
        <v>530.69826324876692</v>
      </c>
      <c r="R114" s="60">
        <f t="shared" si="55"/>
        <v>824.03159658210029</v>
      </c>
      <c r="S114" s="60">
        <f ca="1">AVERAGE(OFFSET($R$3,0,0,'Données projet'!$E$9+1,1))-AVERAGE(OFFSET($H$3,0,0,'Données projet'!$E$9+1,1))</f>
        <v>403.49781966317852</v>
      </c>
      <c r="T114" s="60">
        <f t="shared" si="88"/>
        <v>326.06674572505409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0</v>
      </c>
      <c r="AA114" s="23">
        <f>EXP(-LN(2)/25)*AA113+(1-EXP(-LN(2)/25))/(LN(2)/25)*Calculateur!V114*Calculateur!X114*VLOOKUP('Données projet'!$B$9,Paramètres!$A$1:$I$89,3,0)*0.475*44/12</f>
        <v>0</v>
      </c>
      <c r="AB114" s="23">
        <f>EXP(-LN(2)/2)*AB113+(1-EXP(-LN(2)/2))/(LN(2)/2)*V114*Y114*VLOOKUP('Données projet'!$B$9,Paramètres!$A$1:$I$89,3,0)*0.475*44/12</f>
        <v>0</v>
      </c>
      <c r="AC114" s="24">
        <f t="shared" si="57"/>
        <v>0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-1.1368683772161603E-13</v>
      </c>
      <c r="AJ114" s="14">
        <f>AI114*VLOOKUP('Données projet'!$B$10,Paramètres!$A$1:$I$89,3,0)*VLOOKUP('Données projet'!$B$10,Paramètres!$A$1:$I$89,5,0)</f>
        <v>-9.9316821433603781E-14</v>
      </c>
      <c r="AK114" s="14" t="e">
        <f t="shared" si="89"/>
        <v>#NUM!</v>
      </c>
      <c r="AL114" s="22" t="e">
        <f t="shared" si="58"/>
        <v>#NUM!</v>
      </c>
      <c r="AM114" s="60" t="e">
        <f t="shared" si="59"/>
        <v>#NUM!</v>
      </c>
      <c r="AN114" s="60">
        <f ca="1">AVERAGE(OFFSET($AM$3,0,0,'Données projet'!$E$10+1,1))-AVERAGE(OFFSET($H$3,0,0,'Données projet'!$E$10+1,1))</f>
        <v>274.66236526869056</v>
      </c>
      <c r="AO114" s="60">
        <f t="shared" si="90"/>
        <v>256.90876395053073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>
        <f>EXP(-LN(2)/35)*AU113+(1-EXP(-LN(2)/35))/(LN(2)/35)*AQ114*AR114*VLOOKUP('Données projet'!$B$10,Paramètres!$A$1:$I$89,3,0)*0.475*44/12</f>
        <v>0</v>
      </c>
      <c r="AV114" s="23">
        <f>EXP(-LN(2)/25)*AV113+(1-EXP(-LN(2)/25))/(LN(2)/25)*Calculateur!AQ114*Calculateur!AS114*VLOOKUP('Données projet'!$B$10,Paramètres!$A$1:$I$89,3,0)*0.475*44/12</f>
        <v>0</v>
      </c>
      <c r="AW114" s="23">
        <f>EXP(-LN(2)/2)*AW113+(1-EXP(-LN(2)/2))/(LN(2)/2)*AQ114*AT114*VLOOKUP('Données projet'!$B$10,Paramètres!$A$1:$I$89,3,0)*0.475*44/12</f>
        <v>0</v>
      </c>
      <c r="AX114" s="23">
        <f t="shared" si="60"/>
        <v>0</v>
      </c>
      <c r="AY114" s="76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4.5</v>
      </c>
      <c r="BD114" s="13">
        <f>IF('Données projet'!$A$88&gt;35,BD113+BC114-BL113,IF(A114&lt;'Données projet'!$A$88,$BA$205^A114,IF(A114='Données projet'!$A$88,'Données projet'!$B$88,BD113+BC114-BL113)))</f>
        <v>311.49999999999989</v>
      </c>
      <c r="BE114" s="14">
        <f>BD114*VLOOKUP('Données projet'!$B$11,Paramètres!$A$1:$I$89,3,0)*VLOOKUP('Données projet'!$B$11,Paramètres!$A$1:$I$89,5,0)</f>
        <v>281.84519999999992</v>
      </c>
      <c r="BF114" s="14">
        <f t="shared" si="91"/>
        <v>67.356803491560484</v>
      </c>
      <c r="BG114" s="22">
        <f t="shared" si="61"/>
        <v>608.19348941446765</v>
      </c>
      <c r="BH114" s="60">
        <f t="shared" si="62"/>
        <v>901.52682274780091</v>
      </c>
      <c r="BI114" s="60">
        <f ca="1">AVERAGE(OFFSET($BH$3,0,0,'Données projet'!$E$11+1,1))-AVERAGE(OFFSET($H$3,0,0,'Données projet'!$E$11+1,1))</f>
        <v>529.25712986118265</v>
      </c>
      <c r="BJ114" s="60">
        <f t="shared" si="92"/>
        <v>278.21741231699929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>
        <f>EXP(-LN(2)/35)*BP113+(1-EXP(-LN(2)/35))/(LN(2)/35)*BL114*BM114*VLOOKUP('Données projet'!$B$11,Paramètres!$A$1:$I$89,3,0)*0.475*44/12</f>
        <v>0</v>
      </c>
      <c r="BQ114" s="23">
        <f>EXP(-LN(2)/25)*BQ113+(1-EXP(-LN(2)/25))/(LN(2)/25)*Calculateur!BL114*Calculateur!BN114*VLOOKUP('Données projet'!$B$11,Paramètres!$A$1:$I$89,3,0)*0.475*44/12</f>
        <v>0</v>
      </c>
      <c r="BR114" s="23">
        <f>EXP(-LN(2)/2)*BR113+(1-EXP(-LN(2)/2))/(LN(2)/2)*BL114*BO114*VLOOKUP('Données projet'!$B$11,Paramètres!$A$1:$I$89,3,0)*0.475*44/12</f>
        <v>0</v>
      </c>
      <c r="BS114" s="24">
        <f t="shared" si="63"/>
        <v>0</v>
      </c>
      <c r="BT114" s="77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4.5</v>
      </c>
      <c r="BY114" s="13">
        <f>IF('Données projet'!$A$114&gt;35,BY113+BX114-CG113,IF(A114&lt;'Données projet'!$A$114,$BV$205^A114,IF(A114='Données projet'!$A$114,'Données projet'!$B$114,BY113+BX114-CG113)))</f>
        <v>311.49999999999989</v>
      </c>
      <c r="BZ114" s="14">
        <f>BY114*VLOOKUP('Données projet'!$B$12,Paramètres!$A$1:$I$89,3,0)*VLOOKUP('Données projet'!$B$12,Paramètres!$A$1:$I$89,5,0)</f>
        <v>315.86099999999993</v>
      </c>
      <c r="CA114" s="14">
        <f t="shared" si="93"/>
        <v>74.491502782151414</v>
      </c>
      <c r="CB114" s="22">
        <f t="shared" si="64"/>
        <v>679.86394234558031</v>
      </c>
      <c r="CC114" s="60">
        <f t="shared" si="65"/>
        <v>973.19727567891368</v>
      </c>
      <c r="CD114" s="60">
        <f ca="1">AVERAGE(OFFSET($CC$3,0,0,'Données projet'!$E$12+1,1))-AVERAGE(OFFSET($H$3,0,0,'Données projet'!$E$12+1,1))</f>
        <v>587.74247372331615</v>
      </c>
      <c r="CE114" s="60">
        <f t="shared" si="94"/>
        <v>306.61893266146666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>
        <f>EXP(-LN(2)/35)*CK113+(1-EXP(-LN(2)/35))/(LN(2)/35)*CG114*CH114*VLOOKUP('Données projet'!$B$12,Paramètres!$A$1:$I$89,3,0)*0.475*44/12</f>
        <v>0</v>
      </c>
      <c r="CL114" s="23">
        <f>EXP(-LN(2)/25)*CL113+(1-EXP(-LN(2)/25))/(LN(2)/25)*Calculateur!CG114*Calculateur!CI114*VLOOKUP('Données projet'!$B$12,Paramètres!$A$1:$I$89,3,0)*0.475*44/12</f>
        <v>0</v>
      </c>
      <c r="CM114" s="23">
        <f>EXP(-LN(2)/2)*CM113+(1-EXP(-LN(2)/2))/(LN(2)/2)*CG114*CJ114*VLOOKUP('Données projet'!$B$12,Paramètres!$A$1:$I$89,3,0)*0.475*44/12</f>
        <v>0</v>
      </c>
      <c r="CN114" s="24">
        <f t="shared" si="66"/>
        <v>0</v>
      </c>
      <c r="CO114" s="77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4.5</v>
      </c>
      <c r="CT114" s="13">
        <f>IF('Données projet'!$A$140&gt;35,CT113+CS114-DB113,IF(A114&lt;'Données projet'!$A$140,$CQ$205^A114,IF(A114='Données projet'!$A$140,'Données projet'!$B$140,CT113+CS114-DB113)))</f>
        <v>311.49999999999989</v>
      </c>
      <c r="CU114" s="18">
        <f>CT114*VLOOKUP('Données projet'!$B$13,Paramètres!$A$1:$I$89,3,0)*VLOOKUP('Données projet'!$B$13,Paramètres!$A$1:$I$89,5,0)</f>
        <v>335.29859999999991</v>
      </c>
      <c r="CV114" s="14">
        <f t="shared" si="95"/>
        <v>78.527821659899047</v>
      </c>
      <c r="CW114" s="22">
        <f t="shared" si="67"/>
        <v>720.74768439099068</v>
      </c>
      <c r="CX114" s="60">
        <f t="shared" si="68"/>
        <v>1014.0810177243241</v>
      </c>
      <c r="CY114" s="60">
        <f ca="1">AVERAGE(OFFSET($CX$3,0,0,'Données projet'!$E$13+1,1))-AVERAGE(OFFSET($H$3,0,0,'Données projet'!$E$13+1,1))</f>
        <v>621.10465023992288</v>
      </c>
      <c r="CZ114" s="60">
        <f t="shared" si="96"/>
        <v>322.81767004794284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>
        <f>EXP(-LN(2)/35)*DF113+(1-EXP(-LN(2)/35))/(LN(2)/35)*DB114*DC114*VLOOKUP('Données projet'!$B$13,Paramètres!$A$1:$I$89,3,0)*0.475*44/12</f>
        <v>0</v>
      </c>
      <c r="DG114" s="23">
        <f>EXP(-LN(2)/25)*DG113+(1-EXP(-LN(2)/25))/(LN(2)/25)*Calculateur!DB114*Calculateur!DD114*VLOOKUP('Données projet'!$B$13,Paramètres!$A$1:$I$89,3,0)*0.475*44/12</f>
        <v>0</v>
      </c>
      <c r="DH114" s="23">
        <f>EXP(-LN(2)/2)*DH113+(1-EXP(-LN(2)/2))/(LN(2)/2)*DB114*DE114*VLOOKUP('Données projet'!$B$13,Paramètres!$A$1:$I$89,3,0)*0.475*44/12</f>
        <v>0</v>
      </c>
      <c r="DI114" s="24">
        <f t="shared" si="69"/>
        <v>0</v>
      </c>
      <c r="DJ114" s="77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4.5</v>
      </c>
      <c r="DO114" s="13">
        <f>IF('Données projet'!$A$166&gt;35,DO113+DN114-DW113,IF(A114&lt;'Données projet'!$A$166,$DL$205^A114,IF(A114='Données projet'!$A$166,'Données projet'!$B$166,DO113+DN114-DW113)))</f>
        <v>311.49999999999989</v>
      </c>
      <c r="DP114" s="18">
        <f>DO114*VLOOKUP('Données projet'!$B$14,Paramètres!$A$1:$I$89,3,0)*VLOOKUP('Données projet'!$B$14,Paramètres!$A$1:$I$89,5,0)</f>
        <v>301.2827999999999</v>
      </c>
      <c r="DQ114" s="14">
        <f t="shared" si="97"/>
        <v>71.445320809508729</v>
      </c>
      <c r="DR114" s="22">
        <f t="shared" si="70"/>
        <v>649.16814374322746</v>
      </c>
      <c r="DS114" s="60">
        <f t="shared" si="71"/>
        <v>942.50147707656083</v>
      </c>
      <c r="DT114" s="60">
        <f ca="1">AVERAGE(OFFSET($DS$3,0,0,'Données projet'!$E$14+1,1))-AVERAGE(OFFSET($H$3,0,0,'Données projet'!$E$14+1,1))</f>
        <v>562.69380557620775</v>
      </c>
      <c r="DU114" s="60">
        <f t="shared" si="98"/>
        <v>294.45557293177131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>
        <f>EXP(-LN(2)/35)*EA113+(1-EXP(-LN(2)/35))/(LN(2)/35)*DW114*DX114*VLOOKUP('Données projet'!$B$14,Paramètres!$A$1:$I$89,3,0)*0.475*44/12</f>
        <v>0</v>
      </c>
      <c r="EB114" s="23">
        <f>EXP(-LN(2)/25)*EB113+(1-EXP(-LN(2)/25))/(LN(2)/25)*Calculateur!DW114*Calculateur!DY114*VLOOKUP('Données projet'!$B$14,Paramètres!$A$1:$I$89,3,0)*0.475*44/12</f>
        <v>0</v>
      </c>
      <c r="EC114" s="23">
        <f>EXP(-LN(2)/2)*EC113+(1-EXP(-LN(2)/2))/(LN(2)/2)*DW114*DZ114*VLOOKUP('Données projet'!$B$14,Paramètres!$A$1:$I$89,3,0)*0.475*44/12</f>
        <v>0</v>
      </c>
      <c r="ED114" s="24">
        <f t="shared" si="72"/>
        <v>0</v>
      </c>
      <c r="EE114" s="77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1.1368683772161603E-13</v>
      </c>
      <c r="EK114" s="18">
        <f>EJ114*VLOOKUP('Données projet'!$B$15,Paramètres!$A$1:$I$89,3,0)*VLOOKUP('Données projet'!$B$15,Paramètres!$A$1:$I$89,5,0)</f>
        <v>8.8675733422860506E-14</v>
      </c>
      <c r="EL114" s="14">
        <f t="shared" si="99"/>
        <v>1.3509285393066301E-12</v>
      </c>
      <c r="EM114" s="22">
        <f t="shared" si="73"/>
        <v>2.5073107750038623E-12</v>
      </c>
      <c r="EN114" s="60">
        <f t="shared" si="74"/>
        <v>293.33333333333582</v>
      </c>
      <c r="EO114" s="60">
        <f ca="1">AVERAGE(OFFSET($EN$3,0,0,'Données projet'!$E$15+1,1))-AVERAGE(OFFSET($H$3,0,0,'Données projet'!$E$15+1,1))</f>
        <v>292.57482726862594</v>
      </c>
      <c r="EP114" s="60">
        <f t="shared" si="100"/>
        <v>283.48738729114024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>
        <f>EXP(-LN(2)/35)*EV113+(1-EXP(-LN(2)/35))/(LN(2)/35)*ER114*ES114*VLOOKUP('Données projet'!$B$15,Paramètres!$A$1:$I$89,3,0)*0.475*44/12</f>
        <v>0</v>
      </c>
      <c r="EW114" s="23">
        <f>EXP(-LN(2)/25)*EW113+(1-EXP(-LN(2)/25))/(LN(2)/25)*Calculateur!ER114*Calculateur!ET114*VLOOKUP('Données projet'!$B$15,Paramètres!$A$1:$I$89,3,0)*0.475*44/12</f>
        <v>0</v>
      </c>
      <c r="EX114" s="23">
        <f>EXP(-LN(2)/2)*EX113+(1-EXP(-LN(2)/2))/(LN(2)/2)*ER114*EU114*VLOOKUP('Données projet'!$B$15,Paramètres!$A$1:$I$89,3,0)*0.475*44/12</f>
        <v>0</v>
      </c>
      <c r="EY114" s="24">
        <f t="shared" si="75"/>
        <v>0</v>
      </c>
      <c r="EZ114" s="77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0" t="e">
        <f t="shared" si="77"/>
        <v>#N/A</v>
      </c>
      <c r="FJ114" s="60" t="e">
        <f ca="1">AVERAGE(OFFSET($FI$3,0,0,'Données projet'!$E$16+1,1))-AVERAGE(OFFSET($H$3,0,0,'Données projet'!$E$16+1,1))</f>
        <v>#N/A</v>
      </c>
      <c r="FK114" s="60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77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0" t="e">
        <f t="shared" si="80"/>
        <v>#N/A</v>
      </c>
      <c r="GE114" s="60" t="e">
        <f ca="1">AVERAGE(OFFSET($GD$3,0,0,'Données projet'!$E$17+1,1))-AVERAGE(OFFSET($H$3,0,0,'Données projet'!$E$17+1,1))</f>
        <v>#N/A</v>
      </c>
      <c r="GF114" s="60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77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0" t="e">
        <f t="shared" si="83"/>
        <v>#N/A</v>
      </c>
      <c r="GZ114" s="60" t="e">
        <f ca="1">AVERAGE(OFFSET($GY$3,0,0,'Données projet'!$E$18+1,1))-AVERAGE(OFFSET($H$3,0,0,'Données projet'!$E$18+1,1))</f>
        <v>#N/A</v>
      </c>
      <c r="HA114" s="60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25">
      <c r="A115" s="11">
        <f t="shared" si="85"/>
        <v>112</v>
      </c>
      <c r="B115" s="74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2">
        <f t="shared" si="86"/>
        <v>0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0</v>
      </c>
      <c r="H115" s="67">
        <f t="shared" si="56"/>
        <v>256.66666666666669</v>
      </c>
      <c r="I115" s="7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3.141025641025641</v>
      </c>
      <c r="N115" s="14">
        <f>IF('Données projet'!$A$36&gt;35,N114+M115-V114,IF(A115&lt;'Données projet'!$A$36,$K$205^A115,IF(A115='Données projet'!$A$36,'Données projet'!$B$36,N114+M115-V114)))</f>
        <v>260.76923076923094</v>
      </c>
      <c r="O115" s="14">
        <f>N115*VLOOKUP('Données projet'!$B$9,Paramètres!$A$1:$I$89,3,0)*VLOOKUP('Données projet'!$B$9,Paramètres!$A$1:$I$89,5,0)</f>
        <v>248.14800000000017</v>
      </c>
      <c r="P115" s="14">
        <f t="shared" si="87"/>
        <v>60.189191470108021</v>
      </c>
      <c r="Q115" s="22">
        <f t="shared" si="107"/>
        <v>537.02060847710504</v>
      </c>
      <c r="R115" s="60">
        <f t="shared" si="55"/>
        <v>830.3539418104383</v>
      </c>
      <c r="S115" s="60">
        <f ca="1">AVERAGE(OFFSET($R$3,0,0,'Données projet'!$E$9+1,1))-AVERAGE(OFFSET($H$3,0,0,'Données projet'!$E$9+1,1))</f>
        <v>403.49781966317852</v>
      </c>
      <c r="T115" s="60">
        <f t="shared" si="88"/>
        <v>326.06674572505409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0</v>
      </c>
      <c r="AA115" s="23">
        <f>EXP(-LN(2)/25)*AA114+(1-EXP(-LN(2)/25))/(LN(2)/25)*Calculateur!V115*Calculateur!X115*VLOOKUP('Données projet'!$B$9,Paramètres!$A$1:$I$89,3,0)*0.475*44/12</f>
        <v>0</v>
      </c>
      <c r="AB115" s="23">
        <f>EXP(-LN(2)/2)*AB114+(1-EXP(-LN(2)/2))/(LN(2)/2)*V115*Y115*VLOOKUP('Données projet'!$B$9,Paramètres!$A$1:$I$89,3,0)*0.475*44/12</f>
        <v>0</v>
      </c>
      <c r="AC115" s="24">
        <f t="shared" si="57"/>
        <v>0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-1.1368683772161603E-13</v>
      </c>
      <c r="AJ115" s="14">
        <f>AI115*VLOOKUP('Données projet'!$B$10,Paramètres!$A$1:$I$89,3,0)*VLOOKUP('Données projet'!$B$10,Paramètres!$A$1:$I$89,5,0)</f>
        <v>-9.9316821433603781E-14</v>
      </c>
      <c r="AK115" s="14" t="e">
        <f t="shared" si="89"/>
        <v>#NUM!</v>
      </c>
      <c r="AL115" s="22" t="e">
        <f t="shared" si="58"/>
        <v>#NUM!</v>
      </c>
      <c r="AM115" s="60" t="e">
        <f t="shared" si="59"/>
        <v>#NUM!</v>
      </c>
      <c r="AN115" s="60">
        <f ca="1">AVERAGE(OFFSET($AM$3,0,0,'Données projet'!$E$10+1,1))-AVERAGE(OFFSET($H$3,0,0,'Données projet'!$E$10+1,1))</f>
        <v>274.66236526869056</v>
      </c>
      <c r="AO115" s="60">
        <f t="shared" si="90"/>
        <v>256.90876395053073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>
        <f>EXP(-LN(2)/35)*AU114+(1-EXP(-LN(2)/35))/(LN(2)/35)*AQ115*AR115*VLOOKUP('Données projet'!$B$10,Paramètres!$A$1:$I$89,3,0)*0.475*44/12</f>
        <v>0</v>
      </c>
      <c r="AV115" s="23">
        <f>EXP(-LN(2)/25)*AV114+(1-EXP(-LN(2)/25))/(LN(2)/25)*Calculateur!AQ115*Calculateur!AS115*VLOOKUP('Données projet'!$B$10,Paramètres!$A$1:$I$89,3,0)*0.475*44/12</f>
        <v>0</v>
      </c>
      <c r="AW115" s="23">
        <f>EXP(-LN(2)/2)*AW114+(1-EXP(-LN(2)/2))/(LN(2)/2)*AQ115*AT115*VLOOKUP('Données projet'!$B$10,Paramètres!$A$1:$I$89,3,0)*0.475*44/12</f>
        <v>0</v>
      </c>
      <c r="AX115" s="23">
        <f t="shared" si="60"/>
        <v>0</v>
      </c>
      <c r="AY115" s="76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4.5</v>
      </c>
      <c r="BD115" s="13">
        <f>IF('Données projet'!$A$88&gt;35,BD114+BC115-BL114,IF(A115&lt;'Données projet'!$A$88,$BA$205^A115,IF(A115='Données projet'!$A$88,'Données projet'!$B$88,BD114+BC115-BL114)))</f>
        <v>315.99999999999989</v>
      </c>
      <c r="BE115" s="14">
        <f>BD115*VLOOKUP('Données projet'!$B$11,Paramètres!$A$1:$I$89,3,0)*VLOOKUP('Données projet'!$B$11,Paramètres!$A$1:$I$89,5,0)</f>
        <v>285.91679999999985</v>
      </c>
      <c r="BF115" s="14">
        <f t="shared" si="91"/>
        <v>68.215872977287475</v>
      </c>
      <c r="BG115" s="22">
        <f t="shared" si="61"/>
        <v>616.78107210210862</v>
      </c>
      <c r="BH115" s="60">
        <f t="shared" si="62"/>
        <v>910.11440543544199</v>
      </c>
      <c r="BI115" s="60">
        <f ca="1">AVERAGE(OFFSET($BH$3,0,0,'Données projet'!$E$11+1,1))-AVERAGE(OFFSET($H$3,0,0,'Données projet'!$E$11+1,1))</f>
        <v>529.25712986118265</v>
      </c>
      <c r="BJ115" s="60">
        <f t="shared" si="92"/>
        <v>278.21741231699929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>
        <f>EXP(-LN(2)/35)*BP114+(1-EXP(-LN(2)/35))/(LN(2)/35)*BL115*BM115*VLOOKUP('Données projet'!$B$11,Paramètres!$A$1:$I$89,3,0)*0.475*44/12</f>
        <v>0</v>
      </c>
      <c r="BQ115" s="23">
        <f>EXP(-LN(2)/25)*BQ114+(1-EXP(-LN(2)/25))/(LN(2)/25)*Calculateur!BL115*Calculateur!BN115*VLOOKUP('Données projet'!$B$11,Paramètres!$A$1:$I$89,3,0)*0.475*44/12</f>
        <v>0</v>
      </c>
      <c r="BR115" s="23">
        <f>EXP(-LN(2)/2)*BR114+(1-EXP(-LN(2)/2))/(LN(2)/2)*BL115*BO115*VLOOKUP('Données projet'!$B$11,Paramètres!$A$1:$I$89,3,0)*0.475*44/12</f>
        <v>0</v>
      </c>
      <c r="BS115" s="24">
        <f t="shared" si="63"/>
        <v>0</v>
      </c>
      <c r="BT115" s="77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4.5</v>
      </c>
      <c r="BY115" s="13">
        <f>IF('Données projet'!$A$114&gt;35,BY114+BX115-CG114,IF(A115&lt;'Données projet'!$A$114,$BV$205^A115,IF(A115='Données projet'!$A$114,'Données projet'!$B$114,BY114+BX115-CG114)))</f>
        <v>315.99999999999989</v>
      </c>
      <c r="BZ115" s="14">
        <f>BY115*VLOOKUP('Données projet'!$B$12,Paramètres!$A$1:$I$89,3,0)*VLOOKUP('Données projet'!$B$12,Paramètres!$A$1:$I$89,5,0)</f>
        <v>320.42399999999986</v>
      </c>
      <c r="CA115" s="14">
        <f t="shared" si="93"/>
        <v>75.441568308852311</v>
      </c>
      <c r="CB115" s="22">
        <f t="shared" si="64"/>
        <v>689.46586480458427</v>
      </c>
      <c r="CC115" s="60">
        <f t="shared" si="65"/>
        <v>982.79919813791753</v>
      </c>
      <c r="CD115" s="60">
        <f ca="1">AVERAGE(OFFSET($CC$3,0,0,'Données projet'!$E$12+1,1))-AVERAGE(OFFSET($H$3,0,0,'Données projet'!$E$12+1,1))</f>
        <v>587.74247372331615</v>
      </c>
      <c r="CE115" s="60">
        <f t="shared" si="94"/>
        <v>306.61893266146666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>
        <f>EXP(-LN(2)/35)*CK114+(1-EXP(-LN(2)/35))/(LN(2)/35)*CG115*CH115*VLOOKUP('Données projet'!$B$12,Paramètres!$A$1:$I$89,3,0)*0.475*44/12</f>
        <v>0</v>
      </c>
      <c r="CL115" s="23">
        <f>EXP(-LN(2)/25)*CL114+(1-EXP(-LN(2)/25))/(LN(2)/25)*Calculateur!CG115*Calculateur!CI115*VLOOKUP('Données projet'!$B$12,Paramètres!$A$1:$I$89,3,0)*0.475*44/12</f>
        <v>0</v>
      </c>
      <c r="CM115" s="23">
        <f>EXP(-LN(2)/2)*CM114+(1-EXP(-LN(2)/2))/(LN(2)/2)*CG115*CJ115*VLOOKUP('Données projet'!$B$12,Paramètres!$A$1:$I$89,3,0)*0.475*44/12</f>
        <v>0</v>
      </c>
      <c r="CN115" s="24">
        <f t="shared" si="66"/>
        <v>0</v>
      </c>
      <c r="CO115" s="77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4.5</v>
      </c>
      <c r="CT115" s="13">
        <f>IF('Données projet'!$A$140&gt;35,CT114+CS115-DB114,IF(A115&lt;'Données projet'!$A$140,$CQ$205^A115,IF(A115='Données projet'!$A$140,'Données projet'!$B$140,CT114+CS115-DB114)))</f>
        <v>315.99999999999989</v>
      </c>
      <c r="CU115" s="18">
        <f>CT115*VLOOKUP('Données projet'!$B$13,Paramètres!$A$1:$I$89,3,0)*VLOOKUP('Données projet'!$B$13,Paramètres!$A$1:$I$89,5,0)</f>
        <v>340.14239999999984</v>
      </c>
      <c r="CV115" s="14">
        <f t="shared" si="95"/>
        <v>79.52936644634498</v>
      </c>
      <c r="CW115" s="22">
        <f t="shared" si="67"/>
        <v>730.92832656071721</v>
      </c>
      <c r="CX115" s="60">
        <f t="shared" si="68"/>
        <v>1024.2616598940506</v>
      </c>
      <c r="CY115" s="60">
        <f ca="1">AVERAGE(OFFSET($CX$3,0,0,'Données projet'!$E$13+1,1))-AVERAGE(OFFSET($H$3,0,0,'Données projet'!$E$13+1,1))</f>
        <v>621.10465023992288</v>
      </c>
      <c r="CZ115" s="60">
        <f t="shared" si="96"/>
        <v>322.81767004794284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>
        <f>EXP(-LN(2)/35)*DF114+(1-EXP(-LN(2)/35))/(LN(2)/35)*DB115*DC115*VLOOKUP('Données projet'!$B$13,Paramètres!$A$1:$I$89,3,0)*0.475*44/12</f>
        <v>0</v>
      </c>
      <c r="DG115" s="23">
        <f>EXP(-LN(2)/25)*DG114+(1-EXP(-LN(2)/25))/(LN(2)/25)*Calculateur!DB115*Calculateur!DD115*VLOOKUP('Données projet'!$B$13,Paramètres!$A$1:$I$89,3,0)*0.475*44/12</f>
        <v>0</v>
      </c>
      <c r="DH115" s="23">
        <f>EXP(-LN(2)/2)*DH114+(1-EXP(-LN(2)/2))/(LN(2)/2)*DB115*DE115*VLOOKUP('Données projet'!$B$13,Paramètres!$A$1:$I$89,3,0)*0.475*44/12</f>
        <v>0</v>
      </c>
      <c r="DI115" s="24">
        <f t="shared" si="69"/>
        <v>0</v>
      </c>
      <c r="DJ115" s="77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4.5</v>
      </c>
      <c r="DO115" s="13">
        <f>IF('Données projet'!$A$166&gt;35,DO114+DN115-DW114,IF(A115&lt;'Données projet'!$A$166,$DL$205^A115,IF(A115='Données projet'!$A$166,'Données projet'!$B$166,DO114+DN115-DW114)))</f>
        <v>315.99999999999989</v>
      </c>
      <c r="DP115" s="18">
        <f>DO115*VLOOKUP('Données projet'!$B$14,Paramètres!$A$1:$I$89,3,0)*VLOOKUP('Données projet'!$B$14,Paramètres!$A$1:$I$89,5,0)</f>
        <v>305.63519999999988</v>
      </c>
      <c r="DQ115" s="14">
        <f t="shared" si="97"/>
        <v>72.356535294517812</v>
      </c>
      <c r="DR115" s="22">
        <f t="shared" si="70"/>
        <v>658.33560563795163</v>
      </c>
      <c r="DS115" s="60">
        <f t="shared" si="71"/>
        <v>951.66893897128489</v>
      </c>
      <c r="DT115" s="60">
        <f ca="1">AVERAGE(OFFSET($DS$3,0,0,'Données projet'!$E$14+1,1))-AVERAGE(OFFSET($H$3,0,0,'Données projet'!$E$14+1,1))</f>
        <v>562.69380557620775</v>
      </c>
      <c r="DU115" s="60">
        <f t="shared" si="98"/>
        <v>294.45557293177131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>
        <f>EXP(-LN(2)/35)*EA114+(1-EXP(-LN(2)/35))/(LN(2)/35)*DW115*DX115*VLOOKUP('Données projet'!$B$14,Paramètres!$A$1:$I$89,3,0)*0.475*44/12</f>
        <v>0</v>
      </c>
      <c r="EB115" s="23">
        <f>EXP(-LN(2)/25)*EB114+(1-EXP(-LN(2)/25))/(LN(2)/25)*Calculateur!DW115*Calculateur!DY115*VLOOKUP('Données projet'!$B$14,Paramètres!$A$1:$I$89,3,0)*0.475*44/12</f>
        <v>0</v>
      </c>
      <c r="EC115" s="23">
        <f>EXP(-LN(2)/2)*EC114+(1-EXP(-LN(2)/2))/(LN(2)/2)*DW115*DZ115*VLOOKUP('Données projet'!$B$14,Paramètres!$A$1:$I$89,3,0)*0.475*44/12</f>
        <v>0</v>
      </c>
      <c r="ED115" s="24">
        <f t="shared" si="72"/>
        <v>0</v>
      </c>
      <c r="EE115" s="77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1.1368683772161603E-13</v>
      </c>
      <c r="EK115" s="18">
        <f>EJ115*VLOOKUP('Données projet'!$B$15,Paramètres!$A$1:$I$89,3,0)*VLOOKUP('Données projet'!$B$15,Paramètres!$A$1:$I$89,5,0)</f>
        <v>8.8675733422860506E-14</v>
      </c>
      <c r="EL115" s="14">
        <f t="shared" si="99"/>
        <v>1.3509285393066301E-12</v>
      </c>
      <c r="EM115" s="22">
        <f t="shared" si="73"/>
        <v>2.5073107750038623E-12</v>
      </c>
      <c r="EN115" s="60">
        <f t="shared" si="74"/>
        <v>293.33333333333582</v>
      </c>
      <c r="EO115" s="60">
        <f ca="1">AVERAGE(OFFSET($EN$3,0,0,'Données projet'!$E$15+1,1))-AVERAGE(OFFSET($H$3,0,0,'Données projet'!$E$15+1,1))</f>
        <v>292.57482726862594</v>
      </c>
      <c r="EP115" s="60">
        <f t="shared" si="100"/>
        <v>283.48738729114024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>
        <f>EXP(-LN(2)/35)*EV114+(1-EXP(-LN(2)/35))/(LN(2)/35)*ER115*ES115*VLOOKUP('Données projet'!$B$15,Paramètres!$A$1:$I$89,3,0)*0.475*44/12</f>
        <v>0</v>
      </c>
      <c r="EW115" s="23">
        <f>EXP(-LN(2)/25)*EW114+(1-EXP(-LN(2)/25))/(LN(2)/25)*Calculateur!ER115*Calculateur!ET115*VLOOKUP('Données projet'!$B$15,Paramètres!$A$1:$I$89,3,0)*0.475*44/12</f>
        <v>0</v>
      </c>
      <c r="EX115" s="23">
        <f>EXP(-LN(2)/2)*EX114+(1-EXP(-LN(2)/2))/(LN(2)/2)*ER115*EU115*VLOOKUP('Données projet'!$B$15,Paramètres!$A$1:$I$89,3,0)*0.475*44/12</f>
        <v>0</v>
      </c>
      <c r="EY115" s="24">
        <f t="shared" si="75"/>
        <v>0</v>
      </c>
      <c r="EZ115" s="77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0" t="e">
        <f t="shared" si="77"/>
        <v>#N/A</v>
      </c>
      <c r="FJ115" s="60" t="e">
        <f ca="1">AVERAGE(OFFSET($FI$3,0,0,'Données projet'!$E$16+1,1))-AVERAGE(OFFSET($H$3,0,0,'Données projet'!$E$16+1,1))</f>
        <v>#N/A</v>
      </c>
      <c r="FK115" s="60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77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0" t="e">
        <f t="shared" si="80"/>
        <v>#N/A</v>
      </c>
      <c r="GE115" s="60" t="e">
        <f ca="1">AVERAGE(OFFSET($GD$3,0,0,'Données projet'!$E$17+1,1))-AVERAGE(OFFSET($H$3,0,0,'Données projet'!$E$17+1,1))</f>
        <v>#N/A</v>
      </c>
      <c r="GF115" s="60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77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0" t="e">
        <f t="shared" si="83"/>
        <v>#N/A</v>
      </c>
      <c r="GZ115" s="60" t="e">
        <f ca="1">AVERAGE(OFFSET($GY$3,0,0,'Données projet'!$E$18+1,1))-AVERAGE(OFFSET($H$3,0,0,'Données projet'!$E$18+1,1))</f>
        <v>#N/A</v>
      </c>
      <c r="HA115" s="60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25">
      <c r="A116" s="11">
        <f t="shared" si="85"/>
        <v>113</v>
      </c>
      <c r="B116" s="74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2">
        <f t="shared" si="86"/>
        <v>0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0</v>
      </c>
      <c r="H116" s="67">
        <f t="shared" si="56"/>
        <v>256.66666666666669</v>
      </c>
      <c r="I116" s="7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3.141025641025641</v>
      </c>
      <c r="N116" s="14">
        <f>IF('Données projet'!$A$36&gt;35,N115+M116-V115,IF(A116&lt;'Données projet'!$A$36,$K$205^A116,IF(A116='Données projet'!$A$36,'Données projet'!$B$36,N115+M116-V115)))</f>
        <v>263.91025641025658</v>
      </c>
      <c r="O116" s="14">
        <f>N116*VLOOKUP('Données projet'!$B$9,Paramètres!$A$1:$I$89,3,0)*VLOOKUP('Données projet'!$B$9,Paramètres!$A$1:$I$89,5,0)</f>
        <v>251.13700000000017</v>
      </c>
      <c r="P116" s="14">
        <f t="shared" si="87"/>
        <v>60.82934795323235</v>
      </c>
      <c r="Q116" s="22">
        <f t="shared" si="107"/>
        <v>543.34138935187991</v>
      </c>
      <c r="R116" s="60">
        <f t="shared" si="55"/>
        <v>836.67472268521328</v>
      </c>
      <c r="S116" s="60">
        <f ca="1">AVERAGE(OFFSET($R$3,0,0,'Données projet'!$E$9+1,1))-AVERAGE(OFFSET($H$3,0,0,'Données projet'!$E$9+1,1))</f>
        <v>403.49781966317852</v>
      </c>
      <c r="T116" s="60">
        <f t="shared" si="88"/>
        <v>326.06674572505409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0</v>
      </c>
      <c r="AA116" s="23">
        <f>EXP(-LN(2)/25)*AA115+(1-EXP(-LN(2)/25))/(LN(2)/25)*Calculateur!V116*Calculateur!X116*VLOOKUP('Données projet'!$B$9,Paramètres!$A$1:$I$89,3,0)*0.475*44/12</f>
        <v>0</v>
      </c>
      <c r="AB116" s="23">
        <f>EXP(-LN(2)/2)*AB115+(1-EXP(-LN(2)/2))/(LN(2)/2)*V116*Y116*VLOOKUP('Données projet'!$B$9,Paramètres!$A$1:$I$89,3,0)*0.475*44/12</f>
        <v>0</v>
      </c>
      <c r="AC116" s="24">
        <f t="shared" si="57"/>
        <v>0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-1.1368683772161603E-13</v>
      </c>
      <c r="AJ116" s="14">
        <f>AI116*VLOOKUP('Données projet'!$B$10,Paramètres!$A$1:$I$89,3,0)*VLOOKUP('Données projet'!$B$10,Paramètres!$A$1:$I$89,5,0)</f>
        <v>-9.9316821433603781E-14</v>
      </c>
      <c r="AK116" s="14" t="e">
        <f t="shared" si="89"/>
        <v>#NUM!</v>
      </c>
      <c r="AL116" s="22" t="e">
        <f t="shared" si="58"/>
        <v>#NUM!</v>
      </c>
      <c r="AM116" s="60" t="e">
        <f t="shared" si="59"/>
        <v>#NUM!</v>
      </c>
      <c r="AN116" s="60">
        <f ca="1">AVERAGE(OFFSET($AM$3,0,0,'Données projet'!$E$10+1,1))-AVERAGE(OFFSET($H$3,0,0,'Données projet'!$E$10+1,1))</f>
        <v>274.66236526869056</v>
      </c>
      <c r="AO116" s="60">
        <f t="shared" si="90"/>
        <v>256.90876395053073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>
        <f>EXP(-LN(2)/35)*AU115+(1-EXP(-LN(2)/35))/(LN(2)/35)*AQ116*AR116*VLOOKUP('Données projet'!$B$10,Paramètres!$A$1:$I$89,3,0)*0.475*44/12</f>
        <v>0</v>
      </c>
      <c r="AV116" s="23">
        <f>EXP(-LN(2)/25)*AV115+(1-EXP(-LN(2)/25))/(LN(2)/25)*Calculateur!AQ116*Calculateur!AS116*VLOOKUP('Données projet'!$B$10,Paramètres!$A$1:$I$89,3,0)*0.475*44/12</f>
        <v>0</v>
      </c>
      <c r="AW116" s="23">
        <f>EXP(-LN(2)/2)*AW115+(1-EXP(-LN(2)/2))/(LN(2)/2)*AQ116*AT116*VLOOKUP('Données projet'!$B$10,Paramètres!$A$1:$I$89,3,0)*0.475*44/12</f>
        <v>0</v>
      </c>
      <c r="AX116" s="23">
        <f t="shared" si="60"/>
        <v>0</v>
      </c>
      <c r="AY116" s="76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4.5</v>
      </c>
      <c r="BD116" s="13">
        <f>IF('Données projet'!$A$88&gt;35,BD115+BC116-BL115,IF(A116&lt;'Données projet'!$A$88,$BA$205^A116,IF(A116='Données projet'!$A$88,'Données projet'!$B$88,BD115+BC116-BL115)))</f>
        <v>320.49999999999989</v>
      </c>
      <c r="BE116" s="14">
        <f>BD116*VLOOKUP('Données projet'!$B$11,Paramètres!$A$1:$I$89,3,0)*VLOOKUP('Données projet'!$B$11,Paramètres!$A$1:$I$89,5,0)</f>
        <v>289.9883999999999</v>
      </c>
      <c r="BF116" s="14">
        <f t="shared" si="91"/>
        <v>69.073519602481525</v>
      </c>
      <c r="BG116" s="22">
        <f t="shared" si="61"/>
        <v>625.36617664098856</v>
      </c>
      <c r="BH116" s="60">
        <f t="shared" si="62"/>
        <v>918.69950997432193</v>
      </c>
      <c r="BI116" s="60">
        <f ca="1">AVERAGE(OFFSET($BH$3,0,0,'Données projet'!$E$11+1,1))-AVERAGE(OFFSET($H$3,0,0,'Données projet'!$E$11+1,1))</f>
        <v>529.25712986118265</v>
      </c>
      <c r="BJ116" s="60">
        <f t="shared" si="92"/>
        <v>278.21741231699929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>
        <f>EXP(-LN(2)/35)*BP115+(1-EXP(-LN(2)/35))/(LN(2)/35)*BL116*BM116*VLOOKUP('Données projet'!$B$11,Paramètres!$A$1:$I$89,3,0)*0.475*44/12</f>
        <v>0</v>
      </c>
      <c r="BQ116" s="23">
        <f>EXP(-LN(2)/25)*BQ115+(1-EXP(-LN(2)/25))/(LN(2)/25)*Calculateur!BL116*Calculateur!BN116*VLOOKUP('Données projet'!$B$11,Paramètres!$A$1:$I$89,3,0)*0.475*44/12</f>
        <v>0</v>
      </c>
      <c r="BR116" s="23">
        <f>EXP(-LN(2)/2)*BR115+(1-EXP(-LN(2)/2))/(LN(2)/2)*BL116*BO116*VLOOKUP('Données projet'!$B$11,Paramètres!$A$1:$I$89,3,0)*0.475*44/12</f>
        <v>0</v>
      </c>
      <c r="BS116" s="24">
        <f t="shared" si="63"/>
        <v>0</v>
      </c>
      <c r="BT116" s="77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4.5</v>
      </c>
      <c r="BY116" s="13">
        <f>IF('Données projet'!$A$114&gt;35,BY115+BX116-CG115,IF(A116&lt;'Données projet'!$A$114,$BV$205^A116,IF(A116='Données projet'!$A$114,'Données projet'!$B$114,BY115+BX116-CG115)))</f>
        <v>320.49999999999989</v>
      </c>
      <c r="BZ116" s="14">
        <f>BY116*VLOOKUP('Données projet'!$B$12,Paramètres!$A$1:$I$89,3,0)*VLOOKUP('Données projet'!$B$12,Paramètres!$A$1:$I$89,5,0)</f>
        <v>324.98699999999991</v>
      </c>
      <c r="CA116" s="14">
        <f t="shared" si="93"/>
        <v>76.390060259999387</v>
      </c>
      <c r="CB116" s="22">
        <f t="shared" si="64"/>
        <v>699.06504661949884</v>
      </c>
      <c r="CC116" s="60">
        <f t="shared" si="65"/>
        <v>992.3983799528321</v>
      </c>
      <c r="CD116" s="60">
        <f ca="1">AVERAGE(OFFSET($CC$3,0,0,'Données projet'!$E$12+1,1))-AVERAGE(OFFSET($H$3,0,0,'Données projet'!$E$12+1,1))</f>
        <v>587.74247372331615</v>
      </c>
      <c r="CE116" s="60">
        <f t="shared" si="94"/>
        <v>306.61893266146666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>
        <f>EXP(-LN(2)/35)*CK115+(1-EXP(-LN(2)/35))/(LN(2)/35)*CG116*CH116*VLOOKUP('Données projet'!$B$12,Paramètres!$A$1:$I$89,3,0)*0.475*44/12</f>
        <v>0</v>
      </c>
      <c r="CL116" s="23">
        <f>EXP(-LN(2)/25)*CL115+(1-EXP(-LN(2)/25))/(LN(2)/25)*Calculateur!CG116*Calculateur!CI116*VLOOKUP('Données projet'!$B$12,Paramètres!$A$1:$I$89,3,0)*0.475*44/12</f>
        <v>0</v>
      </c>
      <c r="CM116" s="23">
        <f>EXP(-LN(2)/2)*CM115+(1-EXP(-LN(2)/2))/(LN(2)/2)*CG116*CJ116*VLOOKUP('Données projet'!$B$12,Paramètres!$A$1:$I$89,3,0)*0.475*44/12</f>
        <v>0</v>
      </c>
      <c r="CN116" s="24">
        <f t="shared" si="66"/>
        <v>0</v>
      </c>
      <c r="CO116" s="77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4.5</v>
      </c>
      <c r="CT116" s="13">
        <f>IF('Données projet'!$A$140&gt;35,CT115+CS116-DB115,IF(A116&lt;'Données projet'!$A$140,$CQ$205^A116,IF(A116='Données projet'!$A$140,'Données projet'!$B$140,CT115+CS116-DB115)))</f>
        <v>320.49999999999989</v>
      </c>
      <c r="CU116" s="18">
        <f>CT116*VLOOKUP('Données projet'!$B$13,Paramètres!$A$1:$I$89,3,0)*VLOOKUP('Données projet'!$B$13,Paramètres!$A$1:$I$89,5,0)</f>
        <v>344.98619999999983</v>
      </c>
      <c r="CV116" s="14">
        <f t="shared" si="95"/>
        <v>80.529252393113296</v>
      </c>
      <c r="CW116" s="22">
        <f t="shared" si="67"/>
        <v>741.10607958467199</v>
      </c>
      <c r="CX116" s="60">
        <f t="shared" si="68"/>
        <v>1034.4394129180052</v>
      </c>
      <c r="CY116" s="60">
        <f ca="1">AVERAGE(OFFSET($CX$3,0,0,'Données projet'!$E$13+1,1))-AVERAGE(OFFSET($H$3,0,0,'Données projet'!$E$13+1,1))</f>
        <v>621.10465023992288</v>
      </c>
      <c r="CZ116" s="60">
        <f t="shared" si="96"/>
        <v>322.81767004794284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>
        <f>EXP(-LN(2)/35)*DF115+(1-EXP(-LN(2)/35))/(LN(2)/35)*DB116*DC116*VLOOKUP('Données projet'!$B$13,Paramètres!$A$1:$I$89,3,0)*0.475*44/12</f>
        <v>0</v>
      </c>
      <c r="DG116" s="23">
        <f>EXP(-LN(2)/25)*DG115+(1-EXP(-LN(2)/25))/(LN(2)/25)*Calculateur!DB116*Calculateur!DD116*VLOOKUP('Données projet'!$B$13,Paramètres!$A$1:$I$89,3,0)*0.475*44/12</f>
        <v>0</v>
      </c>
      <c r="DH116" s="23">
        <f>EXP(-LN(2)/2)*DH115+(1-EXP(-LN(2)/2))/(LN(2)/2)*DB116*DE116*VLOOKUP('Données projet'!$B$13,Paramètres!$A$1:$I$89,3,0)*0.475*44/12</f>
        <v>0</v>
      </c>
      <c r="DI116" s="24">
        <f t="shared" si="69"/>
        <v>0</v>
      </c>
      <c r="DJ116" s="77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4.5</v>
      </c>
      <c r="DO116" s="13">
        <f>IF('Données projet'!$A$166&gt;35,DO115+DN116-DW115,IF(A116&lt;'Données projet'!$A$166,$DL$205^A116,IF(A116='Données projet'!$A$166,'Données projet'!$B$166,DO115+DN116-DW115)))</f>
        <v>320.49999999999989</v>
      </c>
      <c r="DP116" s="18">
        <f>DO116*VLOOKUP('Données projet'!$B$14,Paramètres!$A$1:$I$89,3,0)*VLOOKUP('Données projet'!$B$14,Paramètres!$A$1:$I$89,5,0)</f>
        <v>309.98759999999987</v>
      </c>
      <c r="DQ116" s="14">
        <f t="shared" si="97"/>
        <v>73.266240552218449</v>
      </c>
      <c r="DR116" s="22">
        <f t="shared" si="70"/>
        <v>667.50043896178022</v>
      </c>
      <c r="DS116" s="60">
        <f t="shared" si="71"/>
        <v>960.83377229511348</v>
      </c>
      <c r="DT116" s="60">
        <f ca="1">AVERAGE(OFFSET($DS$3,0,0,'Données projet'!$E$14+1,1))-AVERAGE(OFFSET($H$3,0,0,'Données projet'!$E$14+1,1))</f>
        <v>562.69380557620775</v>
      </c>
      <c r="DU116" s="60">
        <f t="shared" si="98"/>
        <v>294.45557293177131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>
        <f>EXP(-LN(2)/35)*EA115+(1-EXP(-LN(2)/35))/(LN(2)/35)*DW116*DX116*VLOOKUP('Données projet'!$B$14,Paramètres!$A$1:$I$89,3,0)*0.475*44/12</f>
        <v>0</v>
      </c>
      <c r="EB116" s="23">
        <f>EXP(-LN(2)/25)*EB115+(1-EXP(-LN(2)/25))/(LN(2)/25)*Calculateur!DW116*Calculateur!DY116*VLOOKUP('Données projet'!$B$14,Paramètres!$A$1:$I$89,3,0)*0.475*44/12</f>
        <v>0</v>
      </c>
      <c r="EC116" s="23">
        <f>EXP(-LN(2)/2)*EC115+(1-EXP(-LN(2)/2))/(LN(2)/2)*DW116*DZ116*VLOOKUP('Données projet'!$B$14,Paramètres!$A$1:$I$89,3,0)*0.475*44/12</f>
        <v>0</v>
      </c>
      <c r="ED116" s="24">
        <f t="shared" si="72"/>
        <v>0</v>
      </c>
      <c r="EE116" s="77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1.1368683772161603E-13</v>
      </c>
      <c r="EK116" s="18">
        <f>EJ116*VLOOKUP('Données projet'!$B$15,Paramètres!$A$1:$I$89,3,0)*VLOOKUP('Données projet'!$B$15,Paramètres!$A$1:$I$89,5,0)</f>
        <v>8.8675733422860506E-14</v>
      </c>
      <c r="EL116" s="14">
        <f t="shared" si="99"/>
        <v>1.3509285393066301E-12</v>
      </c>
      <c r="EM116" s="22">
        <f t="shared" si="73"/>
        <v>2.5073107750038623E-12</v>
      </c>
      <c r="EN116" s="60">
        <f t="shared" si="74"/>
        <v>293.33333333333582</v>
      </c>
      <c r="EO116" s="60">
        <f ca="1">AVERAGE(OFFSET($EN$3,0,0,'Données projet'!$E$15+1,1))-AVERAGE(OFFSET($H$3,0,0,'Données projet'!$E$15+1,1))</f>
        <v>292.57482726862594</v>
      </c>
      <c r="EP116" s="60">
        <f t="shared" si="100"/>
        <v>283.48738729114024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>
        <f>EXP(-LN(2)/35)*EV115+(1-EXP(-LN(2)/35))/(LN(2)/35)*ER116*ES116*VLOOKUP('Données projet'!$B$15,Paramètres!$A$1:$I$89,3,0)*0.475*44/12</f>
        <v>0</v>
      </c>
      <c r="EW116" s="23">
        <f>EXP(-LN(2)/25)*EW115+(1-EXP(-LN(2)/25))/(LN(2)/25)*Calculateur!ER116*Calculateur!ET116*VLOOKUP('Données projet'!$B$15,Paramètres!$A$1:$I$89,3,0)*0.475*44/12</f>
        <v>0</v>
      </c>
      <c r="EX116" s="23">
        <f>EXP(-LN(2)/2)*EX115+(1-EXP(-LN(2)/2))/(LN(2)/2)*ER116*EU116*VLOOKUP('Données projet'!$B$15,Paramètres!$A$1:$I$89,3,0)*0.475*44/12</f>
        <v>0</v>
      </c>
      <c r="EY116" s="24">
        <f t="shared" si="75"/>
        <v>0</v>
      </c>
      <c r="EZ116" s="77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0" t="e">
        <f t="shared" si="77"/>
        <v>#N/A</v>
      </c>
      <c r="FJ116" s="60" t="e">
        <f ca="1">AVERAGE(OFFSET($FI$3,0,0,'Données projet'!$E$16+1,1))-AVERAGE(OFFSET($H$3,0,0,'Données projet'!$E$16+1,1))</f>
        <v>#N/A</v>
      </c>
      <c r="FK116" s="60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77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0" t="e">
        <f t="shared" si="80"/>
        <v>#N/A</v>
      </c>
      <c r="GE116" s="60" t="e">
        <f ca="1">AVERAGE(OFFSET($GD$3,0,0,'Données projet'!$E$17+1,1))-AVERAGE(OFFSET($H$3,0,0,'Données projet'!$E$17+1,1))</f>
        <v>#N/A</v>
      </c>
      <c r="GF116" s="60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77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0" t="e">
        <f t="shared" si="83"/>
        <v>#N/A</v>
      </c>
      <c r="GZ116" s="60" t="e">
        <f ca="1">AVERAGE(OFFSET($GY$3,0,0,'Données projet'!$E$18+1,1))-AVERAGE(OFFSET($H$3,0,0,'Données projet'!$E$18+1,1))</f>
        <v>#N/A</v>
      </c>
      <c r="HA116" s="60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25">
      <c r="A117" s="11">
        <f t="shared" si="85"/>
        <v>114</v>
      </c>
      <c r="B117" s="74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2">
        <f t="shared" si="86"/>
        <v>0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0</v>
      </c>
      <c r="H117" s="67">
        <f t="shared" si="56"/>
        <v>256.66666666666669</v>
      </c>
      <c r="I117" s="7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3.141025641025641</v>
      </c>
      <c r="N117" s="14">
        <f>IF('Données projet'!$A$36&gt;35,N116+M117-V116,IF(A117&lt;'Données projet'!$A$36,$K$205^A117,IF(A117='Données projet'!$A$36,'Données projet'!$B$36,N116+M117-V116)))</f>
        <v>267.05128205128221</v>
      </c>
      <c r="O117" s="14">
        <f>N117*VLOOKUP('Données projet'!$B$9,Paramètres!$A$1:$I$89,3,0)*VLOOKUP('Données projet'!$B$9,Paramètres!$A$1:$I$89,5,0)</f>
        <v>254.12600000000018</v>
      </c>
      <c r="P117" s="14">
        <f t="shared" si="87"/>
        <v>61.46861816974539</v>
      </c>
      <c r="Q117" s="22">
        <f t="shared" si="107"/>
        <v>549.66062664564015</v>
      </c>
      <c r="R117" s="60">
        <f t="shared" si="55"/>
        <v>842.99395997897341</v>
      </c>
      <c r="S117" s="60">
        <f ca="1">AVERAGE(OFFSET($R$3,0,0,'Données projet'!$E$9+1,1))-AVERAGE(OFFSET($H$3,0,0,'Données projet'!$E$9+1,1))</f>
        <v>403.49781966317852</v>
      </c>
      <c r="T117" s="60">
        <f t="shared" si="88"/>
        <v>326.06674572505409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0</v>
      </c>
      <c r="AA117" s="23">
        <f>EXP(-LN(2)/25)*AA116+(1-EXP(-LN(2)/25))/(LN(2)/25)*Calculateur!V117*Calculateur!X117*VLOOKUP('Données projet'!$B$9,Paramètres!$A$1:$I$89,3,0)*0.475*44/12</f>
        <v>0</v>
      </c>
      <c r="AB117" s="23">
        <f>EXP(-LN(2)/2)*AB116+(1-EXP(-LN(2)/2))/(LN(2)/2)*V117*Y117*VLOOKUP('Données projet'!$B$9,Paramètres!$A$1:$I$89,3,0)*0.475*44/12</f>
        <v>0</v>
      </c>
      <c r="AC117" s="24">
        <f t="shared" si="57"/>
        <v>0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-1.1368683772161603E-13</v>
      </c>
      <c r="AJ117" s="14">
        <f>AI117*VLOOKUP('Données projet'!$B$10,Paramètres!$A$1:$I$89,3,0)*VLOOKUP('Données projet'!$B$10,Paramètres!$A$1:$I$89,5,0)</f>
        <v>-9.9316821433603781E-14</v>
      </c>
      <c r="AK117" s="14" t="e">
        <f t="shared" si="89"/>
        <v>#NUM!</v>
      </c>
      <c r="AL117" s="22" t="e">
        <f t="shared" si="58"/>
        <v>#NUM!</v>
      </c>
      <c r="AM117" s="60" t="e">
        <f t="shared" si="59"/>
        <v>#NUM!</v>
      </c>
      <c r="AN117" s="60">
        <f ca="1">AVERAGE(OFFSET($AM$3,0,0,'Données projet'!$E$10+1,1))-AVERAGE(OFFSET($H$3,0,0,'Données projet'!$E$10+1,1))</f>
        <v>274.66236526869056</v>
      </c>
      <c r="AO117" s="60">
        <f t="shared" si="90"/>
        <v>256.90876395053073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>
        <f>EXP(-LN(2)/35)*AU116+(1-EXP(-LN(2)/35))/(LN(2)/35)*AQ117*AR117*VLOOKUP('Données projet'!$B$10,Paramètres!$A$1:$I$89,3,0)*0.475*44/12</f>
        <v>0</v>
      </c>
      <c r="AV117" s="23">
        <f>EXP(-LN(2)/25)*AV116+(1-EXP(-LN(2)/25))/(LN(2)/25)*Calculateur!AQ117*Calculateur!AS117*VLOOKUP('Données projet'!$B$10,Paramètres!$A$1:$I$89,3,0)*0.475*44/12</f>
        <v>0</v>
      </c>
      <c r="AW117" s="23">
        <f>EXP(-LN(2)/2)*AW116+(1-EXP(-LN(2)/2))/(LN(2)/2)*AQ117*AT117*VLOOKUP('Données projet'!$B$10,Paramètres!$A$1:$I$89,3,0)*0.475*44/12</f>
        <v>0</v>
      </c>
      <c r="AX117" s="23">
        <f t="shared" si="60"/>
        <v>0</v>
      </c>
      <c r="AY117" s="76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4.5</v>
      </c>
      <c r="BD117" s="13">
        <f>IF('Données projet'!$A$88&gt;35,BD116+BC117-BL116,IF(A117&lt;'Données projet'!$A$88,$BA$205^A117,IF(A117='Données projet'!$A$88,'Données projet'!$B$88,BD116+BC117-BL116)))</f>
        <v>324.99999999999989</v>
      </c>
      <c r="BE117" s="14">
        <f>BD117*VLOOKUP('Données projet'!$B$11,Paramètres!$A$1:$I$89,3,0)*VLOOKUP('Données projet'!$B$11,Paramètres!$A$1:$I$89,5,0)</f>
        <v>294.05999999999989</v>
      </c>
      <c r="BF117" s="14">
        <f t="shared" si="91"/>
        <v>69.929765653573313</v>
      </c>
      <c r="BG117" s="22">
        <f t="shared" si="61"/>
        <v>633.94884184663999</v>
      </c>
      <c r="BH117" s="60">
        <f t="shared" si="62"/>
        <v>927.28217517997336</v>
      </c>
      <c r="BI117" s="60">
        <f ca="1">AVERAGE(OFFSET($BH$3,0,0,'Données projet'!$E$11+1,1))-AVERAGE(OFFSET($H$3,0,0,'Données projet'!$E$11+1,1))</f>
        <v>529.25712986118265</v>
      </c>
      <c r="BJ117" s="60">
        <f t="shared" si="92"/>
        <v>278.21741231699929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>
        <f>EXP(-LN(2)/35)*BP116+(1-EXP(-LN(2)/35))/(LN(2)/35)*BL117*BM117*VLOOKUP('Données projet'!$B$11,Paramètres!$A$1:$I$89,3,0)*0.475*44/12</f>
        <v>0</v>
      </c>
      <c r="BQ117" s="23">
        <f>EXP(-LN(2)/25)*BQ116+(1-EXP(-LN(2)/25))/(LN(2)/25)*Calculateur!BL117*Calculateur!BN117*VLOOKUP('Données projet'!$B$11,Paramètres!$A$1:$I$89,3,0)*0.475*44/12</f>
        <v>0</v>
      </c>
      <c r="BR117" s="23">
        <f>EXP(-LN(2)/2)*BR116+(1-EXP(-LN(2)/2))/(LN(2)/2)*BL117*BO117*VLOOKUP('Données projet'!$B$11,Paramètres!$A$1:$I$89,3,0)*0.475*44/12</f>
        <v>0</v>
      </c>
      <c r="BS117" s="24">
        <f t="shared" si="63"/>
        <v>0</v>
      </c>
      <c r="BT117" s="77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4.5</v>
      </c>
      <c r="BY117" s="13">
        <f>IF('Données projet'!$A$114&gt;35,BY116+BX117-CG116,IF(A117&lt;'Données projet'!$A$114,$BV$205^A117,IF(A117='Données projet'!$A$114,'Données projet'!$B$114,BY116+BX117-CG116)))</f>
        <v>324.99999999999989</v>
      </c>
      <c r="BZ117" s="14">
        <f>BY117*VLOOKUP('Données projet'!$B$12,Paramètres!$A$1:$I$89,3,0)*VLOOKUP('Données projet'!$B$12,Paramètres!$A$1:$I$89,5,0)</f>
        <v>329.5499999999999</v>
      </c>
      <c r="CA117" s="14">
        <f t="shared" si="93"/>
        <v>77.337003282690574</v>
      </c>
      <c r="CB117" s="22">
        <f t="shared" si="64"/>
        <v>708.66153071735243</v>
      </c>
      <c r="CC117" s="60">
        <f t="shared" si="65"/>
        <v>1001.9948640506857</v>
      </c>
      <c r="CD117" s="60">
        <f ca="1">AVERAGE(OFFSET($CC$3,0,0,'Données projet'!$E$12+1,1))-AVERAGE(OFFSET($H$3,0,0,'Données projet'!$E$12+1,1))</f>
        <v>587.74247372331615</v>
      </c>
      <c r="CE117" s="60">
        <f t="shared" si="94"/>
        <v>306.61893266146666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>
        <f>EXP(-LN(2)/35)*CK116+(1-EXP(-LN(2)/35))/(LN(2)/35)*CG117*CH117*VLOOKUP('Données projet'!$B$12,Paramètres!$A$1:$I$89,3,0)*0.475*44/12</f>
        <v>0</v>
      </c>
      <c r="CL117" s="23">
        <f>EXP(-LN(2)/25)*CL116+(1-EXP(-LN(2)/25))/(LN(2)/25)*Calculateur!CG117*Calculateur!CI117*VLOOKUP('Données projet'!$B$12,Paramètres!$A$1:$I$89,3,0)*0.475*44/12</f>
        <v>0</v>
      </c>
      <c r="CM117" s="23">
        <f>EXP(-LN(2)/2)*CM116+(1-EXP(-LN(2)/2))/(LN(2)/2)*CG117*CJ117*VLOOKUP('Données projet'!$B$12,Paramètres!$A$1:$I$89,3,0)*0.475*44/12</f>
        <v>0</v>
      </c>
      <c r="CN117" s="24">
        <f t="shared" si="66"/>
        <v>0</v>
      </c>
      <c r="CO117" s="77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4.5</v>
      </c>
      <c r="CT117" s="13">
        <f>IF('Données projet'!$A$140&gt;35,CT116+CS117-DB116,IF(A117&lt;'Données projet'!$A$140,$CQ$205^A117,IF(A117='Données projet'!$A$140,'Données projet'!$B$140,CT116+CS117-DB116)))</f>
        <v>324.99999999999989</v>
      </c>
      <c r="CU117" s="18">
        <f>CT117*VLOOKUP('Données projet'!$B$13,Paramètres!$A$1:$I$89,3,0)*VLOOKUP('Données projet'!$B$13,Paramètres!$A$1:$I$89,5,0)</f>
        <v>349.82999999999987</v>
      </c>
      <c r="CV117" s="14">
        <f t="shared" si="95"/>
        <v>81.527505482803917</v>
      </c>
      <c r="CW117" s="22">
        <f t="shared" si="67"/>
        <v>751.28098871588327</v>
      </c>
      <c r="CX117" s="60">
        <f t="shared" si="68"/>
        <v>1044.6143220492165</v>
      </c>
      <c r="CY117" s="60">
        <f ca="1">AVERAGE(OFFSET($CX$3,0,0,'Données projet'!$E$13+1,1))-AVERAGE(OFFSET($H$3,0,0,'Données projet'!$E$13+1,1))</f>
        <v>621.10465023992288</v>
      </c>
      <c r="CZ117" s="60">
        <f t="shared" si="96"/>
        <v>322.81767004794284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>
        <f>EXP(-LN(2)/35)*DF116+(1-EXP(-LN(2)/35))/(LN(2)/35)*DB117*DC117*VLOOKUP('Données projet'!$B$13,Paramètres!$A$1:$I$89,3,0)*0.475*44/12</f>
        <v>0</v>
      </c>
      <c r="DG117" s="23">
        <f>EXP(-LN(2)/25)*DG116+(1-EXP(-LN(2)/25))/(LN(2)/25)*Calculateur!DB117*Calculateur!DD117*VLOOKUP('Données projet'!$B$13,Paramètres!$A$1:$I$89,3,0)*0.475*44/12</f>
        <v>0</v>
      </c>
      <c r="DH117" s="23">
        <f>EXP(-LN(2)/2)*DH116+(1-EXP(-LN(2)/2))/(LN(2)/2)*DB117*DE117*VLOOKUP('Données projet'!$B$13,Paramètres!$A$1:$I$89,3,0)*0.475*44/12</f>
        <v>0</v>
      </c>
      <c r="DI117" s="24">
        <f t="shared" si="69"/>
        <v>0</v>
      </c>
      <c r="DJ117" s="77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4.5</v>
      </c>
      <c r="DO117" s="13">
        <f>IF('Données projet'!$A$166&gt;35,DO116+DN117-DW116,IF(A117&lt;'Données projet'!$A$166,$DL$205^A117,IF(A117='Données projet'!$A$166,'Données projet'!$B$166,DO116+DN117-DW116)))</f>
        <v>324.99999999999989</v>
      </c>
      <c r="DP117" s="18">
        <f>DO117*VLOOKUP('Données projet'!$B$14,Paramètres!$A$1:$I$89,3,0)*VLOOKUP('Données projet'!$B$14,Paramètres!$A$1:$I$89,5,0)</f>
        <v>314.33999999999986</v>
      </c>
      <c r="DQ117" s="14">
        <f t="shared" si="97"/>
        <v>74.174460221814215</v>
      </c>
      <c r="DR117" s="22">
        <f t="shared" si="70"/>
        <v>676.66268488632613</v>
      </c>
      <c r="DS117" s="60">
        <f t="shared" si="71"/>
        <v>969.99601821965939</v>
      </c>
      <c r="DT117" s="60">
        <f ca="1">AVERAGE(OFFSET($DS$3,0,0,'Données projet'!$E$14+1,1))-AVERAGE(OFFSET($H$3,0,0,'Données projet'!$E$14+1,1))</f>
        <v>562.69380557620775</v>
      </c>
      <c r="DU117" s="60">
        <f t="shared" si="98"/>
        <v>294.45557293177131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>
        <f>EXP(-LN(2)/35)*EA116+(1-EXP(-LN(2)/35))/(LN(2)/35)*DW117*DX117*VLOOKUP('Données projet'!$B$14,Paramètres!$A$1:$I$89,3,0)*0.475*44/12</f>
        <v>0</v>
      </c>
      <c r="EB117" s="23">
        <f>EXP(-LN(2)/25)*EB116+(1-EXP(-LN(2)/25))/(LN(2)/25)*Calculateur!DW117*Calculateur!DY117*VLOOKUP('Données projet'!$B$14,Paramètres!$A$1:$I$89,3,0)*0.475*44/12</f>
        <v>0</v>
      </c>
      <c r="EC117" s="23">
        <f>EXP(-LN(2)/2)*EC116+(1-EXP(-LN(2)/2))/(LN(2)/2)*DW117*DZ117*VLOOKUP('Données projet'!$B$14,Paramètres!$A$1:$I$89,3,0)*0.475*44/12</f>
        <v>0</v>
      </c>
      <c r="ED117" s="24">
        <f t="shared" si="72"/>
        <v>0</v>
      </c>
      <c r="EE117" s="77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1.1368683772161603E-13</v>
      </c>
      <c r="EK117" s="18">
        <f>EJ117*VLOOKUP('Données projet'!$B$15,Paramètres!$A$1:$I$89,3,0)*VLOOKUP('Données projet'!$B$15,Paramètres!$A$1:$I$89,5,0)</f>
        <v>8.8675733422860506E-14</v>
      </c>
      <c r="EL117" s="14">
        <f t="shared" si="99"/>
        <v>1.3509285393066301E-12</v>
      </c>
      <c r="EM117" s="22">
        <f t="shared" si="73"/>
        <v>2.5073107750038623E-12</v>
      </c>
      <c r="EN117" s="60">
        <f t="shared" si="74"/>
        <v>293.33333333333582</v>
      </c>
      <c r="EO117" s="60">
        <f ca="1">AVERAGE(OFFSET($EN$3,0,0,'Données projet'!$E$15+1,1))-AVERAGE(OFFSET($H$3,0,0,'Données projet'!$E$15+1,1))</f>
        <v>292.57482726862594</v>
      </c>
      <c r="EP117" s="60">
        <f t="shared" si="100"/>
        <v>283.48738729114024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>
        <f>EXP(-LN(2)/35)*EV116+(1-EXP(-LN(2)/35))/(LN(2)/35)*ER117*ES117*VLOOKUP('Données projet'!$B$15,Paramètres!$A$1:$I$89,3,0)*0.475*44/12</f>
        <v>0</v>
      </c>
      <c r="EW117" s="23">
        <f>EXP(-LN(2)/25)*EW116+(1-EXP(-LN(2)/25))/(LN(2)/25)*Calculateur!ER117*Calculateur!ET117*VLOOKUP('Données projet'!$B$15,Paramètres!$A$1:$I$89,3,0)*0.475*44/12</f>
        <v>0</v>
      </c>
      <c r="EX117" s="23">
        <f>EXP(-LN(2)/2)*EX116+(1-EXP(-LN(2)/2))/(LN(2)/2)*ER117*EU117*VLOOKUP('Données projet'!$B$15,Paramètres!$A$1:$I$89,3,0)*0.475*44/12</f>
        <v>0</v>
      </c>
      <c r="EY117" s="24">
        <f t="shared" si="75"/>
        <v>0</v>
      </c>
      <c r="EZ117" s="77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0" t="e">
        <f t="shared" si="77"/>
        <v>#N/A</v>
      </c>
      <c r="FJ117" s="60" t="e">
        <f ca="1">AVERAGE(OFFSET($FI$3,0,0,'Données projet'!$E$16+1,1))-AVERAGE(OFFSET($H$3,0,0,'Données projet'!$E$16+1,1))</f>
        <v>#N/A</v>
      </c>
      <c r="FK117" s="60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77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0" t="e">
        <f t="shared" si="80"/>
        <v>#N/A</v>
      </c>
      <c r="GE117" s="60" t="e">
        <f ca="1">AVERAGE(OFFSET($GD$3,0,0,'Données projet'!$E$17+1,1))-AVERAGE(OFFSET($H$3,0,0,'Données projet'!$E$17+1,1))</f>
        <v>#N/A</v>
      </c>
      <c r="GF117" s="60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77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0" t="e">
        <f t="shared" si="83"/>
        <v>#N/A</v>
      </c>
      <c r="GZ117" s="60" t="e">
        <f ca="1">AVERAGE(OFFSET($GY$3,0,0,'Données projet'!$E$18+1,1))-AVERAGE(OFFSET($H$3,0,0,'Données projet'!$E$18+1,1))</f>
        <v>#N/A</v>
      </c>
      <c r="HA117" s="60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25">
      <c r="A118" s="11">
        <f t="shared" si="85"/>
        <v>115</v>
      </c>
      <c r="B118" s="74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2">
        <f t="shared" si="86"/>
        <v>0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0</v>
      </c>
      <c r="H118" s="67">
        <f t="shared" si="56"/>
        <v>256.66666666666669</v>
      </c>
      <c r="I118" s="7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3.141025641025641</v>
      </c>
      <c r="N118" s="14">
        <f>IF('Données projet'!$A$36&gt;35,N117+M118-V117,IF(A118&lt;'Données projet'!$A$36,$K$205^A118,IF(A118='Données projet'!$A$36,'Données projet'!$B$36,N117+M118-V117)))</f>
        <v>270.19230769230785</v>
      </c>
      <c r="O118" s="14">
        <f>N118*VLOOKUP('Données projet'!$B$9,Paramètres!$A$1:$I$89,3,0)*VLOOKUP('Données projet'!$B$9,Paramètres!$A$1:$I$89,5,0)</f>
        <v>257.11500000000018</v>
      </c>
      <c r="P118" s="14">
        <f t="shared" si="87"/>
        <v>62.107013749759211</v>
      </c>
      <c r="Q118" s="22">
        <f t="shared" si="107"/>
        <v>555.97834061416427</v>
      </c>
      <c r="R118" s="60">
        <f t="shared" si="55"/>
        <v>849.31167394749764</v>
      </c>
      <c r="S118" s="60">
        <f ca="1">AVERAGE(OFFSET($R$3,0,0,'Données projet'!$E$9+1,1))-AVERAGE(OFFSET($H$3,0,0,'Données projet'!$E$9+1,1))</f>
        <v>403.49781966317852</v>
      </c>
      <c r="T118" s="60">
        <f t="shared" si="88"/>
        <v>326.06674572505409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0</v>
      </c>
      <c r="AA118" s="23">
        <f>EXP(-LN(2)/25)*AA117+(1-EXP(-LN(2)/25))/(LN(2)/25)*Calculateur!V118*Calculateur!X118*VLOOKUP('Données projet'!$B$9,Paramètres!$A$1:$I$89,3,0)*0.475*44/12</f>
        <v>0</v>
      </c>
      <c r="AB118" s="23">
        <f>EXP(-LN(2)/2)*AB117+(1-EXP(-LN(2)/2))/(LN(2)/2)*V118*Y118*VLOOKUP('Données projet'!$B$9,Paramètres!$A$1:$I$89,3,0)*0.475*44/12</f>
        <v>0</v>
      </c>
      <c r="AC118" s="24">
        <f t="shared" si="57"/>
        <v>0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-1.1368683772161603E-13</v>
      </c>
      <c r="AJ118" s="14">
        <f>AI118*VLOOKUP('Données projet'!$B$10,Paramètres!$A$1:$I$89,3,0)*VLOOKUP('Données projet'!$B$10,Paramètres!$A$1:$I$89,5,0)</f>
        <v>-9.9316821433603781E-14</v>
      </c>
      <c r="AK118" s="14" t="e">
        <f t="shared" si="89"/>
        <v>#NUM!</v>
      </c>
      <c r="AL118" s="22" t="e">
        <f t="shared" si="58"/>
        <v>#NUM!</v>
      </c>
      <c r="AM118" s="60" t="e">
        <f t="shared" si="59"/>
        <v>#NUM!</v>
      </c>
      <c r="AN118" s="60">
        <f ca="1">AVERAGE(OFFSET($AM$3,0,0,'Données projet'!$E$10+1,1))-AVERAGE(OFFSET($H$3,0,0,'Données projet'!$E$10+1,1))</f>
        <v>274.66236526869056</v>
      </c>
      <c r="AO118" s="60">
        <f t="shared" si="90"/>
        <v>256.90876395053073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>
        <f>EXP(-LN(2)/35)*AU117+(1-EXP(-LN(2)/35))/(LN(2)/35)*AQ118*AR118*VLOOKUP('Données projet'!$B$10,Paramètres!$A$1:$I$89,3,0)*0.475*44/12</f>
        <v>0</v>
      </c>
      <c r="AV118" s="23">
        <f>EXP(-LN(2)/25)*AV117+(1-EXP(-LN(2)/25))/(LN(2)/25)*Calculateur!AQ118*Calculateur!AS118*VLOOKUP('Données projet'!$B$10,Paramètres!$A$1:$I$89,3,0)*0.475*44/12</f>
        <v>0</v>
      </c>
      <c r="AW118" s="23">
        <f>EXP(-LN(2)/2)*AW117+(1-EXP(-LN(2)/2))/(LN(2)/2)*AQ118*AT118*VLOOKUP('Données projet'!$B$10,Paramètres!$A$1:$I$89,3,0)*0.475*44/12</f>
        <v>0</v>
      </c>
      <c r="AX118" s="23">
        <f t="shared" si="60"/>
        <v>0</v>
      </c>
      <c r="AY118" s="76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4.5</v>
      </c>
      <c r="BD118" s="13">
        <f>IF('Données projet'!$A$88&gt;35,BD117+BC118-BL117,IF(A118&lt;'Données projet'!$A$88,$BA$205^A118,IF(A118='Données projet'!$A$88,'Données projet'!$B$88,BD117+BC118-BL117)))</f>
        <v>329.49999999999989</v>
      </c>
      <c r="BE118" s="14">
        <f>BD118*VLOOKUP('Données projet'!$B$11,Paramètres!$A$1:$I$89,3,0)*VLOOKUP('Données projet'!$B$11,Paramètres!$A$1:$I$89,5,0)</f>
        <v>298.13159999999988</v>
      </c>
      <c r="BF118" s="14">
        <f t="shared" si="91"/>
        <v>70.784632764376028</v>
      </c>
      <c r="BG118" s="22">
        <f t="shared" si="61"/>
        <v>642.52910539795459</v>
      </c>
      <c r="BH118" s="60">
        <f t="shared" si="62"/>
        <v>935.86243873128797</v>
      </c>
      <c r="BI118" s="60">
        <f ca="1">AVERAGE(OFFSET($BH$3,0,0,'Données projet'!$E$11+1,1))-AVERAGE(OFFSET($H$3,0,0,'Données projet'!$E$11+1,1))</f>
        <v>529.25712986118265</v>
      </c>
      <c r="BJ118" s="60">
        <f t="shared" si="92"/>
        <v>278.21741231699929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>
        <f>EXP(-LN(2)/35)*BP117+(1-EXP(-LN(2)/35))/(LN(2)/35)*BL118*BM118*VLOOKUP('Données projet'!$B$11,Paramètres!$A$1:$I$89,3,0)*0.475*44/12</f>
        <v>0</v>
      </c>
      <c r="BQ118" s="23">
        <f>EXP(-LN(2)/25)*BQ117+(1-EXP(-LN(2)/25))/(LN(2)/25)*Calculateur!BL118*Calculateur!BN118*VLOOKUP('Données projet'!$B$11,Paramètres!$A$1:$I$89,3,0)*0.475*44/12</f>
        <v>0</v>
      </c>
      <c r="BR118" s="23">
        <f>EXP(-LN(2)/2)*BR117+(1-EXP(-LN(2)/2))/(LN(2)/2)*BL118*BO118*VLOOKUP('Données projet'!$B$11,Paramètres!$A$1:$I$89,3,0)*0.475*44/12</f>
        <v>0</v>
      </c>
      <c r="BS118" s="24">
        <f t="shared" si="63"/>
        <v>0</v>
      </c>
      <c r="BT118" s="77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4.5</v>
      </c>
      <c r="BY118" s="13">
        <f>IF('Données projet'!$A$114&gt;35,BY117+BX118-CG117,IF(A118&lt;'Données projet'!$A$114,$BV$205^A118,IF(A118='Données projet'!$A$114,'Données projet'!$B$114,BY117+BX118-CG117)))</f>
        <v>329.49999999999989</v>
      </c>
      <c r="BZ118" s="14">
        <f>BY118*VLOOKUP('Données projet'!$B$12,Paramètres!$A$1:$I$89,3,0)*VLOOKUP('Données projet'!$B$12,Paramètres!$A$1:$I$89,5,0)</f>
        <v>334.11299999999989</v>
      </c>
      <c r="CA118" s="14">
        <f t="shared" si="93"/>
        <v>78.282421302277939</v>
      </c>
      <c r="CB118" s="22">
        <f t="shared" si="64"/>
        <v>718.25535876813376</v>
      </c>
      <c r="CC118" s="60">
        <f t="shared" si="65"/>
        <v>1011.5886921014671</v>
      </c>
      <c r="CD118" s="60">
        <f ca="1">AVERAGE(OFFSET($CC$3,0,0,'Données projet'!$E$12+1,1))-AVERAGE(OFFSET($H$3,0,0,'Données projet'!$E$12+1,1))</f>
        <v>587.74247372331615</v>
      </c>
      <c r="CE118" s="60">
        <f t="shared" si="94"/>
        <v>306.61893266146666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>
        <f>EXP(-LN(2)/35)*CK117+(1-EXP(-LN(2)/35))/(LN(2)/35)*CG118*CH118*VLOOKUP('Données projet'!$B$12,Paramètres!$A$1:$I$89,3,0)*0.475*44/12</f>
        <v>0</v>
      </c>
      <c r="CL118" s="23">
        <f>EXP(-LN(2)/25)*CL117+(1-EXP(-LN(2)/25))/(LN(2)/25)*Calculateur!CG118*Calculateur!CI118*VLOOKUP('Données projet'!$B$12,Paramètres!$A$1:$I$89,3,0)*0.475*44/12</f>
        <v>0</v>
      </c>
      <c r="CM118" s="23">
        <f>EXP(-LN(2)/2)*CM117+(1-EXP(-LN(2)/2))/(LN(2)/2)*CG118*CJ118*VLOOKUP('Données projet'!$B$12,Paramètres!$A$1:$I$89,3,0)*0.475*44/12</f>
        <v>0</v>
      </c>
      <c r="CN118" s="24">
        <f t="shared" si="66"/>
        <v>0</v>
      </c>
      <c r="CO118" s="77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4.5</v>
      </c>
      <c r="CT118" s="13">
        <f>IF('Données projet'!$A$140&gt;35,CT117+CS118-DB117,IF(A118&lt;'Données projet'!$A$140,$CQ$205^A118,IF(A118='Données projet'!$A$140,'Données projet'!$B$140,CT117+CS118-DB117)))</f>
        <v>329.49999999999989</v>
      </c>
      <c r="CU118" s="18">
        <f>CT118*VLOOKUP('Données projet'!$B$13,Paramètres!$A$1:$I$89,3,0)*VLOOKUP('Données projet'!$B$13,Paramètres!$A$1:$I$89,5,0)</f>
        <v>354.67379999999986</v>
      </c>
      <c r="CV118" s="14">
        <f t="shared" si="95"/>
        <v>82.524150937163029</v>
      </c>
      <c r="CW118" s="22">
        <f t="shared" si="67"/>
        <v>761.45309788222528</v>
      </c>
      <c r="CX118" s="60">
        <f t="shared" si="68"/>
        <v>1054.7864312155587</v>
      </c>
      <c r="CY118" s="60">
        <f ca="1">AVERAGE(OFFSET($CX$3,0,0,'Données projet'!$E$13+1,1))-AVERAGE(OFFSET($H$3,0,0,'Données projet'!$E$13+1,1))</f>
        <v>621.10465023992288</v>
      </c>
      <c r="CZ118" s="60">
        <f t="shared" si="96"/>
        <v>322.81767004794284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>
        <f>EXP(-LN(2)/35)*DF117+(1-EXP(-LN(2)/35))/(LN(2)/35)*DB118*DC118*VLOOKUP('Données projet'!$B$13,Paramètres!$A$1:$I$89,3,0)*0.475*44/12</f>
        <v>0</v>
      </c>
      <c r="DG118" s="23">
        <f>EXP(-LN(2)/25)*DG117+(1-EXP(-LN(2)/25))/(LN(2)/25)*Calculateur!DB118*Calculateur!DD118*VLOOKUP('Données projet'!$B$13,Paramètres!$A$1:$I$89,3,0)*0.475*44/12</f>
        <v>0</v>
      </c>
      <c r="DH118" s="23">
        <f>EXP(-LN(2)/2)*DH117+(1-EXP(-LN(2)/2))/(LN(2)/2)*DB118*DE118*VLOOKUP('Données projet'!$B$13,Paramètres!$A$1:$I$89,3,0)*0.475*44/12</f>
        <v>0</v>
      </c>
      <c r="DI118" s="24">
        <f t="shared" si="69"/>
        <v>0</v>
      </c>
      <c r="DJ118" s="77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4.5</v>
      </c>
      <c r="DO118" s="13">
        <f>IF('Données projet'!$A$166&gt;35,DO117+DN118-DW117,IF(A118&lt;'Données projet'!$A$166,$DL$205^A118,IF(A118='Données projet'!$A$166,'Données projet'!$B$166,DO117+DN118-DW117)))</f>
        <v>329.49999999999989</v>
      </c>
      <c r="DP118" s="18">
        <f>DO118*VLOOKUP('Données projet'!$B$14,Paramètres!$A$1:$I$89,3,0)*VLOOKUP('Données projet'!$B$14,Paramètres!$A$1:$I$89,5,0)</f>
        <v>318.69239999999991</v>
      </c>
      <c r="DQ118" s="14">
        <f t="shared" si="97"/>
        <v>75.081217250277518</v>
      </c>
      <c r="DR118" s="22">
        <f t="shared" si="70"/>
        <v>685.82238337756644</v>
      </c>
      <c r="DS118" s="60">
        <f t="shared" si="71"/>
        <v>979.1557167108997</v>
      </c>
      <c r="DT118" s="60">
        <f ca="1">AVERAGE(OFFSET($DS$3,0,0,'Données projet'!$E$14+1,1))-AVERAGE(OFFSET($H$3,0,0,'Données projet'!$E$14+1,1))</f>
        <v>562.69380557620775</v>
      </c>
      <c r="DU118" s="60">
        <f t="shared" si="98"/>
        <v>294.45557293177131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>
        <f>EXP(-LN(2)/35)*EA117+(1-EXP(-LN(2)/35))/(LN(2)/35)*DW118*DX118*VLOOKUP('Données projet'!$B$14,Paramètres!$A$1:$I$89,3,0)*0.475*44/12</f>
        <v>0</v>
      </c>
      <c r="EB118" s="23">
        <f>EXP(-LN(2)/25)*EB117+(1-EXP(-LN(2)/25))/(LN(2)/25)*Calculateur!DW118*Calculateur!DY118*VLOOKUP('Données projet'!$B$14,Paramètres!$A$1:$I$89,3,0)*0.475*44/12</f>
        <v>0</v>
      </c>
      <c r="EC118" s="23">
        <f>EXP(-LN(2)/2)*EC117+(1-EXP(-LN(2)/2))/(LN(2)/2)*DW118*DZ118*VLOOKUP('Données projet'!$B$14,Paramètres!$A$1:$I$89,3,0)*0.475*44/12</f>
        <v>0</v>
      </c>
      <c r="ED118" s="24">
        <f t="shared" si="72"/>
        <v>0</v>
      </c>
      <c r="EE118" s="77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1.1368683772161603E-13</v>
      </c>
      <c r="EK118" s="18">
        <f>EJ118*VLOOKUP('Données projet'!$B$15,Paramètres!$A$1:$I$89,3,0)*VLOOKUP('Données projet'!$B$15,Paramètres!$A$1:$I$89,5,0)</f>
        <v>8.8675733422860506E-14</v>
      </c>
      <c r="EL118" s="14">
        <f t="shared" si="99"/>
        <v>1.3509285393066301E-12</v>
      </c>
      <c r="EM118" s="22">
        <f t="shared" si="73"/>
        <v>2.5073107750038623E-12</v>
      </c>
      <c r="EN118" s="60">
        <f t="shared" si="74"/>
        <v>293.33333333333582</v>
      </c>
      <c r="EO118" s="60">
        <f ca="1">AVERAGE(OFFSET($EN$3,0,0,'Données projet'!$E$15+1,1))-AVERAGE(OFFSET($H$3,0,0,'Données projet'!$E$15+1,1))</f>
        <v>292.57482726862594</v>
      </c>
      <c r="EP118" s="60">
        <f t="shared" si="100"/>
        <v>283.48738729114024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>
        <f>EXP(-LN(2)/35)*EV117+(1-EXP(-LN(2)/35))/(LN(2)/35)*ER118*ES118*VLOOKUP('Données projet'!$B$15,Paramètres!$A$1:$I$89,3,0)*0.475*44/12</f>
        <v>0</v>
      </c>
      <c r="EW118" s="23">
        <f>EXP(-LN(2)/25)*EW117+(1-EXP(-LN(2)/25))/(LN(2)/25)*Calculateur!ER118*Calculateur!ET118*VLOOKUP('Données projet'!$B$15,Paramètres!$A$1:$I$89,3,0)*0.475*44/12</f>
        <v>0</v>
      </c>
      <c r="EX118" s="23">
        <f>EXP(-LN(2)/2)*EX117+(1-EXP(-LN(2)/2))/(LN(2)/2)*ER118*EU118*VLOOKUP('Données projet'!$B$15,Paramètres!$A$1:$I$89,3,0)*0.475*44/12</f>
        <v>0</v>
      </c>
      <c r="EY118" s="24">
        <f t="shared" si="75"/>
        <v>0</v>
      </c>
      <c r="EZ118" s="77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0" t="e">
        <f t="shared" si="77"/>
        <v>#N/A</v>
      </c>
      <c r="FJ118" s="60" t="e">
        <f ca="1">AVERAGE(OFFSET($FI$3,0,0,'Données projet'!$E$16+1,1))-AVERAGE(OFFSET($H$3,0,0,'Données projet'!$E$16+1,1))</f>
        <v>#N/A</v>
      </c>
      <c r="FK118" s="60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77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0" t="e">
        <f t="shared" si="80"/>
        <v>#N/A</v>
      </c>
      <c r="GE118" s="60" t="e">
        <f ca="1">AVERAGE(OFFSET($GD$3,0,0,'Données projet'!$E$17+1,1))-AVERAGE(OFFSET($H$3,0,0,'Données projet'!$E$17+1,1))</f>
        <v>#N/A</v>
      </c>
      <c r="GF118" s="60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77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0" t="e">
        <f t="shared" si="83"/>
        <v>#N/A</v>
      </c>
      <c r="GZ118" s="60" t="e">
        <f ca="1">AVERAGE(OFFSET($GY$3,0,0,'Données projet'!$E$18+1,1))-AVERAGE(OFFSET($H$3,0,0,'Données projet'!$E$18+1,1))</f>
        <v>#N/A</v>
      </c>
      <c r="HA118" s="60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25">
      <c r="A119" s="11">
        <f t="shared" si="85"/>
        <v>116</v>
      </c>
      <c r="B119" s="74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2">
        <f t="shared" si="86"/>
        <v>0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0</v>
      </c>
      <c r="H119" s="67">
        <f t="shared" si="56"/>
        <v>256.66666666666669</v>
      </c>
      <c r="I119" s="7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3.141025641025641</v>
      </c>
      <c r="N119" s="14">
        <f>IF('Données projet'!$A$36&gt;35,N118+M119-V118,IF(A119&lt;'Données projet'!$A$36,$K$205^A119,IF(A119='Données projet'!$A$36,'Données projet'!$B$36,N118+M119-V118)))</f>
        <v>273.33333333333348</v>
      </c>
      <c r="O119" s="14">
        <f>N119*VLOOKUP('Données projet'!$B$9,Paramètres!$A$1:$I$89,3,0)*VLOOKUP('Données projet'!$B$9,Paramètres!$A$1:$I$89,5,0)</f>
        <v>260.10400000000016</v>
      </c>
      <c r="P119" s="14">
        <f t="shared" si="87"/>
        <v>62.744546037419411</v>
      </c>
      <c r="Q119" s="22">
        <f t="shared" si="107"/>
        <v>562.29455101517237</v>
      </c>
      <c r="R119" s="60">
        <f t="shared" si="55"/>
        <v>855.62788434850563</v>
      </c>
      <c r="S119" s="60">
        <f ca="1">AVERAGE(OFFSET($R$3,0,0,'Données projet'!$E$9+1,1))-AVERAGE(OFFSET($H$3,0,0,'Données projet'!$E$9+1,1))</f>
        <v>403.49781966317852</v>
      </c>
      <c r="T119" s="60">
        <f t="shared" si="88"/>
        <v>326.06674572505409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0</v>
      </c>
      <c r="AA119" s="23">
        <f>EXP(-LN(2)/25)*AA118+(1-EXP(-LN(2)/25))/(LN(2)/25)*Calculateur!V119*Calculateur!X119*VLOOKUP('Données projet'!$B$9,Paramètres!$A$1:$I$89,3,0)*0.475*44/12</f>
        <v>0</v>
      </c>
      <c r="AB119" s="23">
        <f>EXP(-LN(2)/2)*AB118+(1-EXP(-LN(2)/2))/(LN(2)/2)*V119*Y119*VLOOKUP('Données projet'!$B$9,Paramètres!$A$1:$I$89,3,0)*0.475*44/12</f>
        <v>0</v>
      </c>
      <c r="AC119" s="24">
        <f t="shared" si="57"/>
        <v>0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-1.1368683772161603E-13</v>
      </c>
      <c r="AJ119" s="14">
        <f>AI119*VLOOKUP('Données projet'!$B$10,Paramètres!$A$1:$I$89,3,0)*VLOOKUP('Données projet'!$B$10,Paramètres!$A$1:$I$89,5,0)</f>
        <v>-9.9316821433603781E-14</v>
      </c>
      <c r="AK119" s="14" t="e">
        <f t="shared" si="89"/>
        <v>#NUM!</v>
      </c>
      <c r="AL119" s="22" t="e">
        <f t="shared" si="58"/>
        <v>#NUM!</v>
      </c>
      <c r="AM119" s="60" t="e">
        <f t="shared" si="59"/>
        <v>#NUM!</v>
      </c>
      <c r="AN119" s="60">
        <f ca="1">AVERAGE(OFFSET($AM$3,0,0,'Données projet'!$E$10+1,1))-AVERAGE(OFFSET($H$3,0,0,'Données projet'!$E$10+1,1))</f>
        <v>274.66236526869056</v>
      </c>
      <c r="AO119" s="60">
        <f t="shared" si="90"/>
        <v>256.90876395053073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>
        <f>EXP(-LN(2)/35)*AU118+(1-EXP(-LN(2)/35))/(LN(2)/35)*AQ119*AR119*VLOOKUP('Données projet'!$B$10,Paramètres!$A$1:$I$89,3,0)*0.475*44/12</f>
        <v>0</v>
      </c>
      <c r="AV119" s="23">
        <f>EXP(-LN(2)/25)*AV118+(1-EXP(-LN(2)/25))/(LN(2)/25)*Calculateur!AQ119*Calculateur!AS119*VLOOKUP('Données projet'!$B$10,Paramètres!$A$1:$I$89,3,0)*0.475*44/12</f>
        <v>0</v>
      </c>
      <c r="AW119" s="23">
        <f>EXP(-LN(2)/2)*AW118+(1-EXP(-LN(2)/2))/(LN(2)/2)*AQ119*AT119*VLOOKUP('Données projet'!$B$10,Paramètres!$A$1:$I$89,3,0)*0.475*44/12</f>
        <v>0</v>
      </c>
      <c r="AX119" s="23">
        <f t="shared" si="60"/>
        <v>0</v>
      </c>
      <c r="AY119" s="76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4.5</v>
      </c>
      <c r="BD119" s="13">
        <f>IF('Données projet'!$A$88&gt;35,BD118+BC119-BL118,IF(A119&lt;'Données projet'!$A$88,$BA$205^A119,IF(A119='Données projet'!$A$88,'Données projet'!$B$88,BD118+BC119-BL118)))</f>
        <v>333.99999999999989</v>
      </c>
      <c r="BE119" s="14">
        <f>BD119*VLOOKUP('Données projet'!$B$11,Paramètres!$A$1:$I$89,3,0)*VLOOKUP('Données projet'!$B$11,Paramètres!$A$1:$I$89,5,0)</f>
        <v>302.20319999999987</v>
      </c>
      <c r="BF119" s="14">
        <f t="shared" si="91"/>
        <v>71.638141943842228</v>
      </c>
      <c r="BG119" s="22">
        <f t="shared" si="61"/>
        <v>651.10700388552493</v>
      </c>
      <c r="BH119" s="60">
        <f t="shared" si="62"/>
        <v>944.4403372188583</v>
      </c>
      <c r="BI119" s="60">
        <f ca="1">AVERAGE(OFFSET($BH$3,0,0,'Données projet'!$E$11+1,1))-AVERAGE(OFFSET($H$3,0,0,'Données projet'!$E$11+1,1))</f>
        <v>529.25712986118265</v>
      </c>
      <c r="BJ119" s="60">
        <f t="shared" si="92"/>
        <v>278.21741231699929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>
        <f>EXP(-LN(2)/35)*BP118+(1-EXP(-LN(2)/35))/(LN(2)/35)*BL119*BM119*VLOOKUP('Données projet'!$B$11,Paramètres!$A$1:$I$89,3,0)*0.475*44/12</f>
        <v>0</v>
      </c>
      <c r="BQ119" s="23">
        <f>EXP(-LN(2)/25)*BQ118+(1-EXP(-LN(2)/25))/(LN(2)/25)*Calculateur!BL119*Calculateur!BN119*VLOOKUP('Données projet'!$B$11,Paramètres!$A$1:$I$89,3,0)*0.475*44/12</f>
        <v>0</v>
      </c>
      <c r="BR119" s="23">
        <f>EXP(-LN(2)/2)*BR118+(1-EXP(-LN(2)/2))/(LN(2)/2)*BL119*BO119*VLOOKUP('Données projet'!$B$11,Paramètres!$A$1:$I$89,3,0)*0.475*44/12</f>
        <v>0</v>
      </c>
      <c r="BS119" s="24">
        <f t="shared" si="63"/>
        <v>0</v>
      </c>
      <c r="BT119" s="77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4.5</v>
      </c>
      <c r="BY119" s="13">
        <f>IF('Données projet'!$A$114&gt;35,BY118+BX119-CG118,IF(A119&lt;'Données projet'!$A$114,$BV$205^A119,IF(A119='Données projet'!$A$114,'Données projet'!$B$114,BY118+BX119-CG118)))</f>
        <v>333.99999999999989</v>
      </c>
      <c r="BZ119" s="14">
        <f>BY119*VLOOKUP('Données projet'!$B$12,Paramètres!$A$1:$I$89,3,0)*VLOOKUP('Données projet'!$B$12,Paramètres!$A$1:$I$89,5,0)</f>
        <v>338.67599999999993</v>
      </c>
      <c r="CA119" s="14">
        <f t="shared" si="93"/>
        <v>79.226337553065719</v>
      </c>
      <c r="CB119" s="22">
        <f t="shared" si="64"/>
        <v>727.84657123825593</v>
      </c>
      <c r="CC119" s="60">
        <f t="shared" si="65"/>
        <v>1021.1799045715893</v>
      </c>
      <c r="CD119" s="60">
        <f ca="1">AVERAGE(OFFSET($CC$3,0,0,'Données projet'!$E$12+1,1))-AVERAGE(OFFSET($H$3,0,0,'Données projet'!$E$12+1,1))</f>
        <v>587.74247372331615</v>
      </c>
      <c r="CE119" s="60">
        <f t="shared" si="94"/>
        <v>306.61893266146666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>
        <f>EXP(-LN(2)/35)*CK118+(1-EXP(-LN(2)/35))/(LN(2)/35)*CG119*CH119*VLOOKUP('Données projet'!$B$12,Paramètres!$A$1:$I$89,3,0)*0.475*44/12</f>
        <v>0</v>
      </c>
      <c r="CL119" s="23">
        <f>EXP(-LN(2)/25)*CL118+(1-EXP(-LN(2)/25))/(LN(2)/25)*Calculateur!CG119*Calculateur!CI119*VLOOKUP('Données projet'!$B$12,Paramètres!$A$1:$I$89,3,0)*0.475*44/12</f>
        <v>0</v>
      </c>
      <c r="CM119" s="23">
        <f>EXP(-LN(2)/2)*CM118+(1-EXP(-LN(2)/2))/(LN(2)/2)*CG119*CJ119*VLOOKUP('Données projet'!$B$12,Paramètres!$A$1:$I$89,3,0)*0.475*44/12</f>
        <v>0</v>
      </c>
      <c r="CN119" s="24">
        <f t="shared" si="66"/>
        <v>0</v>
      </c>
      <c r="CO119" s="77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4.5</v>
      </c>
      <c r="CT119" s="13">
        <f>IF('Données projet'!$A$140&gt;35,CT118+CS119-DB118,IF(A119&lt;'Données projet'!$A$140,$CQ$205^A119,IF(A119='Données projet'!$A$140,'Données projet'!$B$140,CT118+CS119-DB118)))</f>
        <v>333.99999999999989</v>
      </c>
      <c r="CU119" s="18">
        <f>CT119*VLOOKUP('Données projet'!$B$13,Paramètres!$A$1:$I$89,3,0)*VLOOKUP('Données projet'!$B$13,Paramètres!$A$1:$I$89,5,0)</f>
        <v>359.51759999999985</v>
      </c>
      <c r="CV119" s="14">
        <f t="shared" si="95"/>
        <v>83.519213249444704</v>
      </c>
      <c r="CW119" s="22">
        <f t="shared" si="67"/>
        <v>771.62244974278258</v>
      </c>
      <c r="CX119" s="60">
        <f t="shared" si="68"/>
        <v>1064.9557830761159</v>
      </c>
      <c r="CY119" s="60">
        <f ca="1">AVERAGE(OFFSET($CX$3,0,0,'Données projet'!$E$13+1,1))-AVERAGE(OFFSET($H$3,0,0,'Données projet'!$E$13+1,1))</f>
        <v>621.10465023992288</v>
      </c>
      <c r="CZ119" s="60">
        <f t="shared" si="96"/>
        <v>322.81767004794284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>
        <f>EXP(-LN(2)/35)*DF118+(1-EXP(-LN(2)/35))/(LN(2)/35)*DB119*DC119*VLOOKUP('Données projet'!$B$13,Paramètres!$A$1:$I$89,3,0)*0.475*44/12</f>
        <v>0</v>
      </c>
      <c r="DG119" s="23">
        <f>EXP(-LN(2)/25)*DG118+(1-EXP(-LN(2)/25))/(LN(2)/25)*Calculateur!DB119*Calculateur!DD119*VLOOKUP('Données projet'!$B$13,Paramètres!$A$1:$I$89,3,0)*0.475*44/12</f>
        <v>0</v>
      </c>
      <c r="DH119" s="23">
        <f>EXP(-LN(2)/2)*DH118+(1-EXP(-LN(2)/2))/(LN(2)/2)*DB119*DE119*VLOOKUP('Données projet'!$B$13,Paramètres!$A$1:$I$89,3,0)*0.475*44/12</f>
        <v>0</v>
      </c>
      <c r="DI119" s="24">
        <f t="shared" si="69"/>
        <v>0</v>
      </c>
      <c r="DJ119" s="77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4.5</v>
      </c>
      <c r="DO119" s="13">
        <f>IF('Données projet'!$A$166&gt;35,DO118+DN119-DW118,IF(A119&lt;'Données projet'!$A$166,$DL$205^A119,IF(A119='Données projet'!$A$166,'Données projet'!$B$166,DO118+DN119-DW118)))</f>
        <v>333.99999999999989</v>
      </c>
      <c r="DP119" s="18">
        <f>DO119*VLOOKUP('Données projet'!$B$14,Paramètres!$A$1:$I$89,3,0)*VLOOKUP('Données projet'!$B$14,Paramètres!$A$1:$I$89,5,0)</f>
        <v>323.0447999999999</v>
      </c>
      <c r="DQ119" s="14">
        <f t="shared" si="97"/>
        <v>75.986533921791832</v>
      </c>
      <c r="DR119" s="22">
        <f t="shared" si="70"/>
        <v>694.97957324712058</v>
      </c>
      <c r="DS119" s="60">
        <f t="shared" si="71"/>
        <v>988.31290658045396</v>
      </c>
      <c r="DT119" s="60">
        <f ca="1">AVERAGE(OFFSET($DS$3,0,0,'Données projet'!$E$14+1,1))-AVERAGE(OFFSET($H$3,0,0,'Données projet'!$E$14+1,1))</f>
        <v>562.69380557620775</v>
      </c>
      <c r="DU119" s="60">
        <f t="shared" si="98"/>
        <v>294.45557293177131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>
        <f>EXP(-LN(2)/35)*EA118+(1-EXP(-LN(2)/35))/(LN(2)/35)*DW119*DX119*VLOOKUP('Données projet'!$B$14,Paramètres!$A$1:$I$89,3,0)*0.475*44/12</f>
        <v>0</v>
      </c>
      <c r="EB119" s="23">
        <f>EXP(-LN(2)/25)*EB118+(1-EXP(-LN(2)/25))/(LN(2)/25)*Calculateur!DW119*Calculateur!DY119*VLOOKUP('Données projet'!$B$14,Paramètres!$A$1:$I$89,3,0)*0.475*44/12</f>
        <v>0</v>
      </c>
      <c r="EC119" s="23">
        <f>EXP(-LN(2)/2)*EC118+(1-EXP(-LN(2)/2))/(LN(2)/2)*DW119*DZ119*VLOOKUP('Données projet'!$B$14,Paramètres!$A$1:$I$89,3,0)*0.475*44/12</f>
        <v>0</v>
      </c>
      <c r="ED119" s="24">
        <f t="shared" si="72"/>
        <v>0</v>
      </c>
      <c r="EE119" s="77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1.1368683772161603E-13</v>
      </c>
      <c r="EK119" s="18">
        <f>EJ119*VLOOKUP('Données projet'!$B$15,Paramètres!$A$1:$I$89,3,0)*VLOOKUP('Données projet'!$B$15,Paramètres!$A$1:$I$89,5,0)</f>
        <v>8.8675733422860506E-14</v>
      </c>
      <c r="EL119" s="14">
        <f t="shared" si="99"/>
        <v>1.3509285393066301E-12</v>
      </c>
      <c r="EM119" s="22">
        <f t="shared" si="73"/>
        <v>2.5073107750038623E-12</v>
      </c>
      <c r="EN119" s="60">
        <f t="shared" si="74"/>
        <v>293.33333333333582</v>
      </c>
      <c r="EO119" s="60">
        <f ca="1">AVERAGE(OFFSET($EN$3,0,0,'Données projet'!$E$15+1,1))-AVERAGE(OFFSET($H$3,0,0,'Données projet'!$E$15+1,1))</f>
        <v>292.57482726862594</v>
      </c>
      <c r="EP119" s="60">
        <f t="shared" si="100"/>
        <v>283.48738729114024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>
        <f>EXP(-LN(2)/35)*EV118+(1-EXP(-LN(2)/35))/(LN(2)/35)*ER119*ES119*VLOOKUP('Données projet'!$B$15,Paramètres!$A$1:$I$89,3,0)*0.475*44/12</f>
        <v>0</v>
      </c>
      <c r="EW119" s="23">
        <f>EXP(-LN(2)/25)*EW118+(1-EXP(-LN(2)/25))/(LN(2)/25)*Calculateur!ER119*Calculateur!ET119*VLOOKUP('Données projet'!$B$15,Paramètres!$A$1:$I$89,3,0)*0.475*44/12</f>
        <v>0</v>
      </c>
      <c r="EX119" s="23">
        <f>EXP(-LN(2)/2)*EX118+(1-EXP(-LN(2)/2))/(LN(2)/2)*ER119*EU119*VLOOKUP('Données projet'!$B$15,Paramètres!$A$1:$I$89,3,0)*0.475*44/12</f>
        <v>0</v>
      </c>
      <c r="EY119" s="24">
        <f t="shared" si="75"/>
        <v>0</v>
      </c>
      <c r="EZ119" s="77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0" t="e">
        <f t="shared" si="77"/>
        <v>#N/A</v>
      </c>
      <c r="FJ119" s="60" t="e">
        <f ca="1">AVERAGE(OFFSET($FI$3,0,0,'Données projet'!$E$16+1,1))-AVERAGE(OFFSET($H$3,0,0,'Données projet'!$E$16+1,1))</f>
        <v>#N/A</v>
      </c>
      <c r="FK119" s="60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77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0" t="e">
        <f t="shared" si="80"/>
        <v>#N/A</v>
      </c>
      <c r="GE119" s="60" t="e">
        <f ca="1">AVERAGE(OFFSET($GD$3,0,0,'Données projet'!$E$17+1,1))-AVERAGE(OFFSET($H$3,0,0,'Données projet'!$E$17+1,1))</f>
        <v>#N/A</v>
      </c>
      <c r="GF119" s="60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77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0" t="e">
        <f t="shared" si="83"/>
        <v>#N/A</v>
      </c>
      <c r="GZ119" s="60" t="e">
        <f ca="1">AVERAGE(OFFSET($GY$3,0,0,'Données projet'!$E$18+1,1))-AVERAGE(OFFSET($H$3,0,0,'Données projet'!$E$18+1,1))</f>
        <v>#N/A</v>
      </c>
      <c r="HA119" s="60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25">
      <c r="A120" s="11">
        <f t="shared" si="85"/>
        <v>117</v>
      </c>
      <c r="B120" s="74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2">
        <f t="shared" si="86"/>
        <v>0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0</v>
      </c>
      <c r="H120" s="67">
        <f t="shared" si="56"/>
        <v>256.66666666666669</v>
      </c>
      <c r="I120" s="7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3.141025641025641</v>
      </c>
      <c r="N120" s="14">
        <f>IF('Données projet'!$A$36&gt;35,N119+M120-V119,IF(A120&lt;'Données projet'!$A$36,$K$205^A120,IF(A120='Données projet'!$A$36,'Données projet'!$B$36,N119+M120-V119)))</f>
        <v>276.47435897435912</v>
      </c>
      <c r="O120" s="14">
        <f>N120*VLOOKUP('Données projet'!$B$9,Paramètres!$A$1:$I$89,3,0)*VLOOKUP('Données projet'!$B$9,Paramètres!$A$1:$I$89,5,0)</f>
        <v>263.09300000000013</v>
      </c>
      <c r="P120" s="14">
        <f t="shared" si="87"/>
        <v>63.381226101139966</v>
      </c>
      <c r="Q120" s="22">
        <f t="shared" si="107"/>
        <v>568.60927712615228</v>
      </c>
      <c r="R120" s="60">
        <f t="shared" si="55"/>
        <v>861.94261045948565</v>
      </c>
      <c r="S120" s="60">
        <f ca="1">AVERAGE(OFFSET($R$3,0,0,'Données projet'!$E$9+1,1))-AVERAGE(OFFSET($H$3,0,0,'Données projet'!$E$9+1,1))</f>
        <v>403.49781966317852</v>
      </c>
      <c r="T120" s="60">
        <f t="shared" si="88"/>
        <v>326.06674572505409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0</v>
      </c>
      <c r="AA120" s="23">
        <f>EXP(-LN(2)/25)*AA119+(1-EXP(-LN(2)/25))/(LN(2)/25)*Calculateur!V120*Calculateur!X120*VLOOKUP('Données projet'!$B$9,Paramètres!$A$1:$I$89,3,0)*0.475*44/12</f>
        <v>0</v>
      </c>
      <c r="AB120" s="23">
        <f>EXP(-LN(2)/2)*AB119+(1-EXP(-LN(2)/2))/(LN(2)/2)*V120*Y120*VLOOKUP('Données projet'!$B$9,Paramètres!$A$1:$I$89,3,0)*0.475*44/12</f>
        <v>0</v>
      </c>
      <c r="AC120" s="24">
        <f t="shared" si="57"/>
        <v>0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-1.1368683772161603E-13</v>
      </c>
      <c r="AJ120" s="14">
        <f>AI120*VLOOKUP('Données projet'!$B$10,Paramètres!$A$1:$I$89,3,0)*VLOOKUP('Données projet'!$B$10,Paramètres!$A$1:$I$89,5,0)</f>
        <v>-9.9316821433603781E-14</v>
      </c>
      <c r="AK120" s="14" t="e">
        <f t="shared" si="89"/>
        <v>#NUM!</v>
      </c>
      <c r="AL120" s="22" t="e">
        <f t="shared" si="58"/>
        <v>#NUM!</v>
      </c>
      <c r="AM120" s="60" t="e">
        <f t="shared" si="59"/>
        <v>#NUM!</v>
      </c>
      <c r="AN120" s="60">
        <f ca="1">AVERAGE(OFFSET($AM$3,0,0,'Données projet'!$E$10+1,1))-AVERAGE(OFFSET($H$3,0,0,'Données projet'!$E$10+1,1))</f>
        <v>274.66236526869056</v>
      </c>
      <c r="AO120" s="60">
        <f t="shared" si="90"/>
        <v>256.90876395053073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>
        <f>EXP(-LN(2)/35)*AU119+(1-EXP(-LN(2)/35))/(LN(2)/35)*AQ120*AR120*VLOOKUP('Données projet'!$B$10,Paramètres!$A$1:$I$89,3,0)*0.475*44/12</f>
        <v>0</v>
      </c>
      <c r="AV120" s="23">
        <f>EXP(-LN(2)/25)*AV119+(1-EXP(-LN(2)/25))/(LN(2)/25)*Calculateur!AQ120*Calculateur!AS120*VLOOKUP('Données projet'!$B$10,Paramètres!$A$1:$I$89,3,0)*0.475*44/12</f>
        <v>0</v>
      </c>
      <c r="AW120" s="23">
        <f>EXP(-LN(2)/2)*AW119+(1-EXP(-LN(2)/2))/(LN(2)/2)*AQ120*AT120*VLOOKUP('Données projet'!$B$10,Paramètres!$A$1:$I$89,3,0)*0.475*44/12</f>
        <v>0</v>
      </c>
      <c r="AX120" s="23">
        <f t="shared" si="60"/>
        <v>0</v>
      </c>
      <c r="AY120" s="76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4.5</v>
      </c>
      <c r="BD120" s="13">
        <f>IF('Données projet'!$A$88&gt;35,BD119+BC120-BL119,IF(A120&lt;'Données projet'!$A$88,$BA$205^A120,IF(A120='Données projet'!$A$88,'Données projet'!$B$88,BD119+BC120-BL119)))</f>
        <v>338.49999999999989</v>
      </c>
      <c r="BE120" s="14">
        <f>BD120*VLOOKUP('Données projet'!$B$11,Paramètres!$A$1:$I$89,3,0)*VLOOKUP('Données projet'!$B$11,Paramètres!$A$1:$I$89,5,0)</f>
        <v>306.27479999999991</v>
      </c>
      <c r="BF120" s="14">
        <f t="shared" si="91"/>
        <v>72.490313602283052</v>
      </c>
      <c r="BG120" s="22">
        <f t="shared" si="61"/>
        <v>659.68257285730954</v>
      </c>
      <c r="BH120" s="60">
        <f t="shared" si="62"/>
        <v>953.01590619064291</v>
      </c>
      <c r="BI120" s="60">
        <f ca="1">AVERAGE(OFFSET($BH$3,0,0,'Données projet'!$E$11+1,1))-AVERAGE(OFFSET($H$3,0,0,'Données projet'!$E$11+1,1))</f>
        <v>529.25712986118265</v>
      </c>
      <c r="BJ120" s="60">
        <f t="shared" si="92"/>
        <v>278.21741231699929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>
        <f>EXP(-LN(2)/35)*BP119+(1-EXP(-LN(2)/35))/(LN(2)/35)*BL120*BM120*VLOOKUP('Données projet'!$B$11,Paramètres!$A$1:$I$89,3,0)*0.475*44/12</f>
        <v>0</v>
      </c>
      <c r="BQ120" s="23">
        <f>EXP(-LN(2)/25)*BQ119+(1-EXP(-LN(2)/25))/(LN(2)/25)*Calculateur!BL120*Calculateur!BN120*VLOOKUP('Données projet'!$B$11,Paramètres!$A$1:$I$89,3,0)*0.475*44/12</f>
        <v>0</v>
      </c>
      <c r="BR120" s="23">
        <f>EXP(-LN(2)/2)*BR119+(1-EXP(-LN(2)/2))/(LN(2)/2)*BL120*BO120*VLOOKUP('Données projet'!$B$11,Paramètres!$A$1:$I$89,3,0)*0.475*44/12</f>
        <v>0</v>
      </c>
      <c r="BS120" s="24">
        <f t="shared" si="63"/>
        <v>0</v>
      </c>
      <c r="BT120" s="77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4.5</v>
      </c>
      <c r="BY120" s="13">
        <f>IF('Données projet'!$A$114&gt;35,BY119+BX120-CG119,IF(A120&lt;'Données projet'!$A$114,$BV$205^A120,IF(A120='Données projet'!$A$114,'Données projet'!$B$114,BY119+BX120-CG119)))</f>
        <v>338.49999999999989</v>
      </c>
      <c r="BZ120" s="14">
        <f>BY120*VLOOKUP('Données projet'!$B$12,Paramètres!$A$1:$I$89,3,0)*VLOOKUP('Données projet'!$B$12,Paramètres!$A$1:$I$89,5,0)</f>
        <v>343.23899999999986</v>
      </c>
      <c r="CA120" s="14">
        <f t="shared" si="93"/>
        <v>80.168774607305807</v>
      </c>
      <c r="CB120" s="22">
        <f t="shared" si="64"/>
        <v>737.43520744105729</v>
      </c>
      <c r="CC120" s="60">
        <f t="shared" si="65"/>
        <v>1030.7685407743907</v>
      </c>
      <c r="CD120" s="60">
        <f ca="1">AVERAGE(OFFSET($CC$3,0,0,'Données projet'!$E$12+1,1))-AVERAGE(OFFSET($H$3,0,0,'Données projet'!$E$12+1,1))</f>
        <v>587.74247372331615</v>
      </c>
      <c r="CE120" s="60">
        <f t="shared" si="94"/>
        <v>306.61893266146666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>
        <f>EXP(-LN(2)/35)*CK119+(1-EXP(-LN(2)/35))/(LN(2)/35)*CG120*CH120*VLOOKUP('Données projet'!$B$12,Paramètres!$A$1:$I$89,3,0)*0.475*44/12</f>
        <v>0</v>
      </c>
      <c r="CL120" s="23">
        <f>EXP(-LN(2)/25)*CL119+(1-EXP(-LN(2)/25))/(LN(2)/25)*Calculateur!CG120*Calculateur!CI120*VLOOKUP('Données projet'!$B$12,Paramètres!$A$1:$I$89,3,0)*0.475*44/12</f>
        <v>0</v>
      </c>
      <c r="CM120" s="23">
        <f>EXP(-LN(2)/2)*CM119+(1-EXP(-LN(2)/2))/(LN(2)/2)*CG120*CJ120*VLOOKUP('Données projet'!$B$12,Paramètres!$A$1:$I$89,3,0)*0.475*44/12</f>
        <v>0</v>
      </c>
      <c r="CN120" s="24">
        <f t="shared" si="66"/>
        <v>0</v>
      </c>
      <c r="CO120" s="77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4.5</v>
      </c>
      <c r="CT120" s="13">
        <f>IF('Données projet'!$A$140&gt;35,CT119+CS120-DB119,IF(A120&lt;'Données projet'!$A$140,$CQ$205^A120,IF(A120='Données projet'!$A$140,'Données projet'!$B$140,CT119+CS120-DB119)))</f>
        <v>338.49999999999989</v>
      </c>
      <c r="CU120" s="18">
        <f>CT120*VLOOKUP('Données projet'!$B$13,Paramètres!$A$1:$I$89,3,0)*VLOOKUP('Données projet'!$B$13,Paramètres!$A$1:$I$89,5,0)</f>
        <v>364.36139999999989</v>
      </c>
      <c r="CV120" s="14">
        <f t="shared" si="95"/>
        <v>84.512716214977203</v>
      </c>
      <c r="CW120" s="22">
        <f t="shared" si="67"/>
        <v>781.78908574108516</v>
      </c>
      <c r="CX120" s="60">
        <f t="shared" si="68"/>
        <v>1075.1224190744185</v>
      </c>
      <c r="CY120" s="60">
        <f ca="1">AVERAGE(OFFSET($CX$3,0,0,'Données projet'!$E$13+1,1))-AVERAGE(OFFSET($H$3,0,0,'Données projet'!$E$13+1,1))</f>
        <v>621.10465023992288</v>
      </c>
      <c r="CZ120" s="60">
        <f t="shared" si="96"/>
        <v>322.81767004794284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>
        <f>EXP(-LN(2)/35)*DF119+(1-EXP(-LN(2)/35))/(LN(2)/35)*DB120*DC120*VLOOKUP('Données projet'!$B$13,Paramètres!$A$1:$I$89,3,0)*0.475*44/12</f>
        <v>0</v>
      </c>
      <c r="DG120" s="23">
        <f>EXP(-LN(2)/25)*DG119+(1-EXP(-LN(2)/25))/(LN(2)/25)*Calculateur!DB120*Calculateur!DD120*VLOOKUP('Données projet'!$B$13,Paramètres!$A$1:$I$89,3,0)*0.475*44/12</f>
        <v>0</v>
      </c>
      <c r="DH120" s="23">
        <f>EXP(-LN(2)/2)*DH119+(1-EXP(-LN(2)/2))/(LN(2)/2)*DB120*DE120*VLOOKUP('Données projet'!$B$13,Paramètres!$A$1:$I$89,3,0)*0.475*44/12</f>
        <v>0</v>
      </c>
      <c r="DI120" s="24">
        <f t="shared" si="69"/>
        <v>0</v>
      </c>
      <c r="DJ120" s="77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4.5</v>
      </c>
      <c r="DO120" s="13">
        <f>IF('Données projet'!$A$166&gt;35,DO119+DN120-DW119,IF(A120&lt;'Données projet'!$A$166,$DL$205^A120,IF(A120='Données projet'!$A$166,'Données projet'!$B$166,DO119+DN120-DW119)))</f>
        <v>338.49999999999989</v>
      </c>
      <c r="DP120" s="18">
        <f>DO120*VLOOKUP('Données projet'!$B$14,Paramètres!$A$1:$I$89,3,0)*VLOOKUP('Données projet'!$B$14,Paramètres!$A$1:$I$89,5,0)</f>
        <v>327.39719999999988</v>
      </c>
      <c r="DQ120" s="14">
        <f t="shared" si="97"/>
        <v>76.890431885561796</v>
      </c>
      <c r="DR120" s="22">
        <f t="shared" si="70"/>
        <v>704.13429220068656</v>
      </c>
      <c r="DS120" s="60">
        <f t="shared" si="71"/>
        <v>997.46762553401982</v>
      </c>
      <c r="DT120" s="60">
        <f ca="1">AVERAGE(OFFSET($DS$3,0,0,'Données projet'!$E$14+1,1))-AVERAGE(OFFSET($H$3,0,0,'Données projet'!$E$14+1,1))</f>
        <v>562.69380557620775</v>
      </c>
      <c r="DU120" s="60">
        <f t="shared" si="98"/>
        <v>294.45557293177131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>
        <f>EXP(-LN(2)/35)*EA119+(1-EXP(-LN(2)/35))/(LN(2)/35)*DW120*DX120*VLOOKUP('Données projet'!$B$14,Paramètres!$A$1:$I$89,3,0)*0.475*44/12</f>
        <v>0</v>
      </c>
      <c r="EB120" s="23">
        <f>EXP(-LN(2)/25)*EB119+(1-EXP(-LN(2)/25))/(LN(2)/25)*Calculateur!DW120*Calculateur!DY120*VLOOKUP('Données projet'!$B$14,Paramètres!$A$1:$I$89,3,0)*0.475*44/12</f>
        <v>0</v>
      </c>
      <c r="EC120" s="23">
        <f>EXP(-LN(2)/2)*EC119+(1-EXP(-LN(2)/2))/(LN(2)/2)*DW120*DZ120*VLOOKUP('Données projet'!$B$14,Paramètres!$A$1:$I$89,3,0)*0.475*44/12</f>
        <v>0</v>
      </c>
      <c r="ED120" s="24">
        <f t="shared" si="72"/>
        <v>0</v>
      </c>
      <c r="EE120" s="77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1.1368683772161603E-13</v>
      </c>
      <c r="EK120" s="18">
        <f>EJ120*VLOOKUP('Données projet'!$B$15,Paramètres!$A$1:$I$89,3,0)*VLOOKUP('Données projet'!$B$15,Paramètres!$A$1:$I$89,5,0)</f>
        <v>8.8675733422860506E-14</v>
      </c>
      <c r="EL120" s="14">
        <f t="shared" si="99"/>
        <v>1.3509285393066301E-12</v>
      </c>
      <c r="EM120" s="22">
        <f t="shared" si="73"/>
        <v>2.5073107750038623E-12</v>
      </c>
      <c r="EN120" s="60">
        <f t="shared" si="74"/>
        <v>293.33333333333582</v>
      </c>
      <c r="EO120" s="60">
        <f ca="1">AVERAGE(OFFSET($EN$3,0,0,'Données projet'!$E$15+1,1))-AVERAGE(OFFSET($H$3,0,0,'Données projet'!$E$15+1,1))</f>
        <v>292.57482726862594</v>
      </c>
      <c r="EP120" s="60">
        <f t="shared" si="100"/>
        <v>283.48738729114024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>
        <f>EXP(-LN(2)/35)*EV119+(1-EXP(-LN(2)/35))/(LN(2)/35)*ER120*ES120*VLOOKUP('Données projet'!$B$15,Paramètres!$A$1:$I$89,3,0)*0.475*44/12</f>
        <v>0</v>
      </c>
      <c r="EW120" s="23">
        <f>EXP(-LN(2)/25)*EW119+(1-EXP(-LN(2)/25))/(LN(2)/25)*Calculateur!ER120*Calculateur!ET120*VLOOKUP('Données projet'!$B$15,Paramètres!$A$1:$I$89,3,0)*0.475*44/12</f>
        <v>0</v>
      </c>
      <c r="EX120" s="23">
        <f>EXP(-LN(2)/2)*EX119+(1-EXP(-LN(2)/2))/(LN(2)/2)*ER120*EU120*VLOOKUP('Données projet'!$B$15,Paramètres!$A$1:$I$89,3,0)*0.475*44/12</f>
        <v>0</v>
      </c>
      <c r="EY120" s="24">
        <f t="shared" si="75"/>
        <v>0</v>
      </c>
      <c r="EZ120" s="77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0" t="e">
        <f t="shared" si="77"/>
        <v>#N/A</v>
      </c>
      <c r="FJ120" s="60" t="e">
        <f ca="1">AVERAGE(OFFSET($FI$3,0,0,'Données projet'!$E$16+1,1))-AVERAGE(OFFSET($H$3,0,0,'Données projet'!$E$16+1,1))</f>
        <v>#N/A</v>
      </c>
      <c r="FK120" s="60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77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0" t="e">
        <f t="shared" si="80"/>
        <v>#N/A</v>
      </c>
      <c r="GE120" s="60" t="e">
        <f ca="1">AVERAGE(OFFSET($GD$3,0,0,'Données projet'!$E$17+1,1))-AVERAGE(OFFSET($H$3,0,0,'Données projet'!$E$17+1,1))</f>
        <v>#N/A</v>
      </c>
      <c r="GF120" s="60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77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0" t="e">
        <f t="shared" si="83"/>
        <v>#N/A</v>
      </c>
      <c r="GZ120" s="60" t="e">
        <f ca="1">AVERAGE(OFFSET($GY$3,0,0,'Données projet'!$E$18+1,1))-AVERAGE(OFFSET($H$3,0,0,'Données projet'!$E$18+1,1))</f>
        <v>#N/A</v>
      </c>
      <c r="HA120" s="60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25">
      <c r="A121" s="11">
        <f t="shared" si="85"/>
        <v>118</v>
      </c>
      <c r="B121" s="74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2">
        <f t="shared" si="86"/>
        <v>0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0</v>
      </c>
      <c r="H121" s="67">
        <f t="shared" si="56"/>
        <v>256.66666666666669</v>
      </c>
      <c r="I121" s="7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3.141025641025641</v>
      </c>
      <c r="N121" s="14">
        <f>IF('Données projet'!$A$36&gt;35,N120+M121-V120,IF(A121&lt;'Données projet'!$A$36,$K$205^A121,IF(A121='Données projet'!$A$36,'Données projet'!$B$36,N120+M121-V120)))</f>
        <v>279.61538461538476</v>
      </c>
      <c r="O121" s="14">
        <f>N121*VLOOKUP('Données projet'!$B$9,Paramètres!$A$1:$I$89,3,0)*VLOOKUP('Données projet'!$B$9,Paramètres!$A$1:$I$89,5,0)</f>
        <v>266.08200000000011</v>
      </c>
      <c r="P121" s="14">
        <f t="shared" si="87"/>
        <v>64.017064743360152</v>
      </c>
      <c r="Q121" s="22">
        <f t="shared" si="107"/>
        <v>574.92253776135237</v>
      </c>
      <c r="R121" s="60">
        <f t="shared" si="55"/>
        <v>868.25587109468574</v>
      </c>
      <c r="S121" s="60">
        <f ca="1">AVERAGE(OFFSET($R$3,0,0,'Données projet'!$E$9+1,1))-AVERAGE(OFFSET($H$3,0,0,'Données projet'!$E$9+1,1))</f>
        <v>403.49781966317852</v>
      </c>
      <c r="T121" s="60">
        <f t="shared" si="88"/>
        <v>326.06674572505409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0</v>
      </c>
      <c r="AA121" s="23">
        <f>EXP(-LN(2)/25)*AA120+(1-EXP(-LN(2)/25))/(LN(2)/25)*Calculateur!V121*Calculateur!X121*VLOOKUP('Données projet'!$B$9,Paramètres!$A$1:$I$89,3,0)*0.475*44/12</f>
        <v>0</v>
      </c>
      <c r="AB121" s="23">
        <f>EXP(-LN(2)/2)*AB120+(1-EXP(-LN(2)/2))/(LN(2)/2)*V121*Y121*VLOOKUP('Données projet'!$B$9,Paramètres!$A$1:$I$89,3,0)*0.475*44/12</f>
        <v>0</v>
      </c>
      <c r="AC121" s="24">
        <f t="shared" si="57"/>
        <v>0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-1.1368683772161603E-13</v>
      </c>
      <c r="AJ121" s="14">
        <f>AI121*VLOOKUP('Données projet'!$B$10,Paramètres!$A$1:$I$89,3,0)*VLOOKUP('Données projet'!$B$10,Paramètres!$A$1:$I$89,5,0)</f>
        <v>-9.9316821433603781E-14</v>
      </c>
      <c r="AK121" s="14" t="e">
        <f t="shared" si="89"/>
        <v>#NUM!</v>
      </c>
      <c r="AL121" s="22" t="e">
        <f t="shared" si="58"/>
        <v>#NUM!</v>
      </c>
      <c r="AM121" s="60" t="e">
        <f t="shared" si="59"/>
        <v>#NUM!</v>
      </c>
      <c r="AN121" s="60">
        <f ca="1">AVERAGE(OFFSET($AM$3,0,0,'Données projet'!$E$10+1,1))-AVERAGE(OFFSET($H$3,0,0,'Données projet'!$E$10+1,1))</f>
        <v>274.66236526869056</v>
      </c>
      <c r="AO121" s="60">
        <f t="shared" si="90"/>
        <v>256.90876395053073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>
        <f>EXP(-LN(2)/35)*AU120+(1-EXP(-LN(2)/35))/(LN(2)/35)*AQ121*AR121*VLOOKUP('Données projet'!$B$10,Paramètres!$A$1:$I$89,3,0)*0.475*44/12</f>
        <v>0</v>
      </c>
      <c r="AV121" s="23">
        <f>EXP(-LN(2)/25)*AV120+(1-EXP(-LN(2)/25))/(LN(2)/25)*Calculateur!AQ121*Calculateur!AS121*VLOOKUP('Données projet'!$B$10,Paramètres!$A$1:$I$89,3,0)*0.475*44/12</f>
        <v>0</v>
      </c>
      <c r="AW121" s="23">
        <f>EXP(-LN(2)/2)*AW120+(1-EXP(-LN(2)/2))/(LN(2)/2)*AQ121*AT121*VLOOKUP('Données projet'!$B$10,Paramètres!$A$1:$I$89,3,0)*0.475*44/12</f>
        <v>0</v>
      </c>
      <c r="AX121" s="23">
        <f t="shared" si="60"/>
        <v>0</v>
      </c>
      <c r="AY121" s="76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4.5</v>
      </c>
      <c r="BD121" s="13">
        <f>IF('Données projet'!$A$88&gt;35,BD120+BC121-BL120,IF(A121&lt;'Données projet'!$A$88,$BA$205^A121,IF(A121='Données projet'!$A$88,'Données projet'!$B$88,BD120+BC121-BL120)))</f>
        <v>342.99999999999989</v>
      </c>
      <c r="BE121" s="14">
        <f>BD121*VLOOKUP('Données projet'!$B$11,Paramètres!$A$1:$I$89,3,0)*VLOOKUP('Données projet'!$B$11,Paramètres!$A$1:$I$89,5,0)</f>
        <v>310.34639999999985</v>
      </c>
      <c r="BF121" s="14">
        <f t="shared" si="91"/>
        <v>73.341167576152998</v>
      </c>
      <c r="BG121" s="22">
        <f t="shared" si="61"/>
        <v>668.25584686179957</v>
      </c>
      <c r="BH121" s="60">
        <f t="shared" si="62"/>
        <v>961.58918019513294</v>
      </c>
      <c r="BI121" s="60">
        <f ca="1">AVERAGE(OFFSET($BH$3,0,0,'Données projet'!$E$11+1,1))-AVERAGE(OFFSET($H$3,0,0,'Données projet'!$E$11+1,1))</f>
        <v>529.25712986118265</v>
      </c>
      <c r="BJ121" s="60">
        <f t="shared" si="92"/>
        <v>278.21741231699929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>
        <f>EXP(-LN(2)/35)*BP120+(1-EXP(-LN(2)/35))/(LN(2)/35)*BL121*BM121*VLOOKUP('Données projet'!$B$11,Paramètres!$A$1:$I$89,3,0)*0.475*44/12</f>
        <v>0</v>
      </c>
      <c r="BQ121" s="23">
        <f>EXP(-LN(2)/25)*BQ120+(1-EXP(-LN(2)/25))/(LN(2)/25)*Calculateur!BL121*Calculateur!BN121*VLOOKUP('Données projet'!$B$11,Paramètres!$A$1:$I$89,3,0)*0.475*44/12</f>
        <v>0</v>
      </c>
      <c r="BR121" s="23">
        <f>EXP(-LN(2)/2)*BR120+(1-EXP(-LN(2)/2))/(LN(2)/2)*BL121*BO121*VLOOKUP('Données projet'!$B$11,Paramètres!$A$1:$I$89,3,0)*0.475*44/12</f>
        <v>0</v>
      </c>
      <c r="BS121" s="24">
        <f t="shared" si="63"/>
        <v>0</v>
      </c>
      <c r="BT121" s="77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4.5</v>
      </c>
      <c r="BY121" s="13">
        <f>IF('Données projet'!$A$114&gt;35,BY120+BX121-CG120,IF(A121&lt;'Données projet'!$A$114,$BV$205^A121,IF(A121='Données projet'!$A$114,'Données projet'!$B$114,BY120+BX121-CG120)))</f>
        <v>342.99999999999989</v>
      </c>
      <c r="BZ121" s="14">
        <f>BY121*VLOOKUP('Données projet'!$B$12,Paramètres!$A$1:$I$89,3,0)*VLOOKUP('Données projet'!$B$12,Paramètres!$A$1:$I$89,5,0)</f>
        <v>347.80199999999991</v>
      </c>
      <c r="CA121" s="14">
        <f t="shared" si="93"/>
        <v>81.109754402608502</v>
      </c>
      <c r="CB121" s="22">
        <f t="shared" si="64"/>
        <v>747.02130558454292</v>
      </c>
      <c r="CC121" s="60">
        <f t="shared" si="65"/>
        <v>1040.3546389178762</v>
      </c>
      <c r="CD121" s="60">
        <f ca="1">AVERAGE(OFFSET($CC$3,0,0,'Données projet'!$E$12+1,1))-AVERAGE(OFFSET($H$3,0,0,'Données projet'!$E$12+1,1))</f>
        <v>587.74247372331615</v>
      </c>
      <c r="CE121" s="60">
        <f t="shared" si="94"/>
        <v>306.61893266146666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>
        <f>EXP(-LN(2)/35)*CK120+(1-EXP(-LN(2)/35))/(LN(2)/35)*CG121*CH121*VLOOKUP('Données projet'!$B$12,Paramètres!$A$1:$I$89,3,0)*0.475*44/12</f>
        <v>0</v>
      </c>
      <c r="CL121" s="23">
        <f>EXP(-LN(2)/25)*CL120+(1-EXP(-LN(2)/25))/(LN(2)/25)*Calculateur!CG121*Calculateur!CI121*VLOOKUP('Données projet'!$B$12,Paramètres!$A$1:$I$89,3,0)*0.475*44/12</f>
        <v>0</v>
      </c>
      <c r="CM121" s="23">
        <f>EXP(-LN(2)/2)*CM120+(1-EXP(-LN(2)/2))/(LN(2)/2)*CG121*CJ121*VLOOKUP('Données projet'!$B$12,Paramètres!$A$1:$I$89,3,0)*0.475*44/12</f>
        <v>0</v>
      </c>
      <c r="CN121" s="24">
        <f t="shared" si="66"/>
        <v>0</v>
      </c>
      <c r="CO121" s="77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4.5</v>
      </c>
      <c r="CT121" s="13">
        <f>IF('Données projet'!$A$140&gt;35,CT120+CS121-DB120,IF(A121&lt;'Données projet'!$A$140,$CQ$205^A121,IF(A121='Données projet'!$A$140,'Données projet'!$B$140,CT120+CS121-DB120)))</f>
        <v>342.99999999999989</v>
      </c>
      <c r="CU121" s="18">
        <f>CT121*VLOOKUP('Données projet'!$B$13,Paramètres!$A$1:$I$89,3,0)*VLOOKUP('Données projet'!$B$13,Paramètres!$A$1:$I$89,5,0)</f>
        <v>369.20519999999988</v>
      </c>
      <c r="CV121" s="14">
        <f t="shared" si="95"/>
        <v>85.50468296005964</v>
      </c>
      <c r="CW121" s="22">
        <f t="shared" si="67"/>
        <v>791.95304615543694</v>
      </c>
      <c r="CX121" s="60">
        <f t="shared" si="68"/>
        <v>1085.2863794887703</v>
      </c>
      <c r="CY121" s="60">
        <f ca="1">AVERAGE(OFFSET($CX$3,0,0,'Données projet'!$E$13+1,1))-AVERAGE(OFFSET($H$3,0,0,'Données projet'!$E$13+1,1))</f>
        <v>621.10465023992288</v>
      </c>
      <c r="CZ121" s="60">
        <f t="shared" si="96"/>
        <v>322.81767004794284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>
        <f>EXP(-LN(2)/35)*DF120+(1-EXP(-LN(2)/35))/(LN(2)/35)*DB121*DC121*VLOOKUP('Données projet'!$B$13,Paramètres!$A$1:$I$89,3,0)*0.475*44/12</f>
        <v>0</v>
      </c>
      <c r="DG121" s="23">
        <f>EXP(-LN(2)/25)*DG120+(1-EXP(-LN(2)/25))/(LN(2)/25)*Calculateur!DB121*Calculateur!DD121*VLOOKUP('Données projet'!$B$13,Paramètres!$A$1:$I$89,3,0)*0.475*44/12</f>
        <v>0</v>
      </c>
      <c r="DH121" s="23">
        <f>EXP(-LN(2)/2)*DH120+(1-EXP(-LN(2)/2))/(LN(2)/2)*DB121*DE121*VLOOKUP('Données projet'!$B$13,Paramètres!$A$1:$I$89,3,0)*0.475*44/12</f>
        <v>0</v>
      </c>
      <c r="DI121" s="24">
        <f t="shared" si="69"/>
        <v>0</v>
      </c>
      <c r="DJ121" s="77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4.5</v>
      </c>
      <c r="DO121" s="13">
        <f>IF('Données projet'!$A$166&gt;35,DO120+DN121-DW120,IF(A121&lt;'Données projet'!$A$166,$DL$205^A121,IF(A121='Données projet'!$A$166,'Données projet'!$B$166,DO120+DN121-DW120)))</f>
        <v>342.99999999999989</v>
      </c>
      <c r="DP121" s="18">
        <f>DO121*VLOOKUP('Données projet'!$B$14,Paramètres!$A$1:$I$89,3,0)*VLOOKUP('Données projet'!$B$14,Paramètres!$A$1:$I$89,5,0)</f>
        <v>331.74959999999993</v>
      </c>
      <c r="DQ121" s="14">
        <f t="shared" si="97"/>
        <v>77.792932182102803</v>
      </c>
      <c r="DR121" s="22">
        <f t="shared" si="70"/>
        <v>713.28657688382884</v>
      </c>
      <c r="DS121" s="60">
        <f t="shared" si="71"/>
        <v>1006.6199102171622</v>
      </c>
      <c r="DT121" s="60">
        <f ca="1">AVERAGE(OFFSET($DS$3,0,0,'Données projet'!$E$14+1,1))-AVERAGE(OFFSET($H$3,0,0,'Données projet'!$E$14+1,1))</f>
        <v>562.69380557620775</v>
      </c>
      <c r="DU121" s="60">
        <f t="shared" si="98"/>
        <v>294.45557293177131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>
        <f>EXP(-LN(2)/35)*EA120+(1-EXP(-LN(2)/35))/(LN(2)/35)*DW121*DX121*VLOOKUP('Données projet'!$B$14,Paramètres!$A$1:$I$89,3,0)*0.475*44/12</f>
        <v>0</v>
      </c>
      <c r="EB121" s="23">
        <f>EXP(-LN(2)/25)*EB120+(1-EXP(-LN(2)/25))/(LN(2)/25)*Calculateur!DW121*Calculateur!DY121*VLOOKUP('Données projet'!$B$14,Paramètres!$A$1:$I$89,3,0)*0.475*44/12</f>
        <v>0</v>
      </c>
      <c r="EC121" s="23">
        <f>EXP(-LN(2)/2)*EC120+(1-EXP(-LN(2)/2))/(LN(2)/2)*DW121*DZ121*VLOOKUP('Données projet'!$B$14,Paramètres!$A$1:$I$89,3,0)*0.475*44/12</f>
        <v>0</v>
      </c>
      <c r="ED121" s="24">
        <f t="shared" si="72"/>
        <v>0</v>
      </c>
      <c r="EE121" s="77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1.1368683772161603E-13</v>
      </c>
      <c r="EK121" s="18">
        <f>EJ121*VLOOKUP('Données projet'!$B$15,Paramètres!$A$1:$I$89,3,0)*VLOOKUP('Données projet'!$B$15,Paramètres!$A$1:$I$89,5,0)</f>
        <v>8.8675733422860506E-14</v>
      </c>
      <c r="EL121" s="14">
        <f t="shared" si="99"/>
        <v>1.3509285393066301E-12</v>
      </c>
      <c r="EM121" s="22">
        <f t="shared" si="73"/>
        <v>2.5073107750038623E-12</v>
      </c>
      <c r="EN121" s="60">
        <f t="shared" si="74"/>
        <v>293.33333333333582</v>
      </c>
      <c r="EO121" s="60">
        <f ca="1">AVERAGE(OFFSET($EN$3,0,0,'Données projet'!$E$15+1,1))-AVERAGE(OFFSET($H$3,0,0,'Données projet'!$E$15+1,1))</f>
        <v>292.57482726862594</v>
      </c>
      <c r="EP121" s="60">
        <f t="shared" si="100"/>
        <v>283.48738729114024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>
        <f>EXP(-LN(2)/35)*EV120+(1-EXP(-LN(2)/35))/(LN(2)/35)*ER121*ES121*VLOOKUP('Données projet'!$B$15,Paramètres!$A$1:$I$89,3,0)*0.475*44/12</f>
        <v>0</v>
      </c>
      <c r="EW121" s="23">
        <f>EXP(-LN(2)/25)*EW120+(1-EXP(-LN(2)/25))/(LN(2)/25)*Calculateur!ER121*Calculateur!ET121*VLOOKUP('Données projet'!$B$15,Paramètres!$A$1:$I$89,3,0)*0.475*44/12</f>
        <v>0</v>
      </c>
      <c r="EX121" s="23">
        <f>EXP(-LN(2)/2)*EX120+(1-EXP(-LN(2)/2))/(LN(2)/2)*ER121*EU121*VLOOKUP('Données projet'!$B$15,Paramètres!$A$1:$I$89,3,0)*0.475*44/12</f>
        <v>0</v>
      </c>
      <c r="EY121" s="24">
        <f t="shared" si="75"/>
        <v>0</v>
      </c>
      <c r="EZ121" s="77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0" t="e">
        <f t="shared" si="77"/>
        <v>#N/A</v>
      </c>
      <c r="FJ121" s="60" t="e">
        <f ca="1">AVERAGE(OFFSET($FI$3,0,0,'Données projet'!$E$16+1,1))-AVERAGE(OFFSET($H$3,0,0,'Données projet'!$E$16+1,1))</f>
        <v>#N/A</v>
      </c>
      <c r="FK121" s="60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77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0" t="e">
        <f t="shared" si="80"/>
        <v>#N/A</v>
      </c>
      <c r="GE121" s="60" t="e">
        <f ca="1">AVERAGE(OFFSET($GD$3,0,0,'Données projet'!$E$17+1,1))-AVERAGE(OFFSET($H$3,0,0,'Données projet'!$E$17+1,1))</f>
        <v>#N/A</v>
      </c>
      <c r="GF121" s="60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77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0" t="e">
        <f t="shared" si="83"/>
        <v>#N/A</v>
      </c>
      <c r="GZ121" s="60" t="e">
        <f ca="1">AVERAGE(OFFSET($GY$3,0,0,'Données projet'!$E$18+1,1))-AVERAGE(OFFSET($H$3,0,0,'Données projet'!$E$18+1,1))</f>
        <v>#N/A</v>
      </c>
      <c r="HA121" s="60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25">
      <c r="A122" s="11">
        <f t="shared" si="85"/>
        <v>119</v>
      </c>
      <c r="B122" s="74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2">
        <f t="shared" si="86"/>
        <v>0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0</v>
      </c>
      <c r="H122" s="67">
        <f t="shared" si="56"/>
        <v>256.66666666666669</v>
      </c>
      <c r="I122" s="7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3.141025641025641</v>
      </c>
      <c r="N122" s="14">
        <f>IF('Données projet'!$A$36&gt;35,N121+M122-V121,IF(A122&lt;'Données projet'!$A$36,$K$205^A122,IF(A122='Données projet'!$A$36,'Données projet'!$B$36,N121+M122-V121)))</f>
        <v>282.75641025641039</v>
      </c>
      <c r="O122" s="14">
        <f>N122*VLOOKUP('Données projet'!$B$9,Paramètres!$A$1:$I$89,3,0)*VLOOKUP('Données projet'!$B$9,Paramètres!$A$1:$I$89,5,0)</f>
        <v>269.07100000000014</v>
      </c>
      <c r="P122" s="14">
        <f t="shared" si="87"/>
        <v>64.652072509850228</v>
      </c>
      <c r="Q122" s="22">
        <f t="shared" si="107"/>
        <v>581.2343512879894</v>
      </c>
      <c r="R122" s="60">
        <f t="shared" si="55"/>
        <v>874.56768462132277</v>
      </c>
      <c r="S122" s="60">
        <f ca="1">AVERAGE(OFFSET($R$3,0,0,'Données projet'!$E$9+1,1))-AVERAGE(OFFSET($H$3,0,0,'Données projet'!$E$9+1,1))</f>
        <v>403.49781966317852</v>
      </c>
      <c r="T122" s="60">
        <f t="shared" si="88"/>
        <v>326.06674572505409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0</v>
      </c>
      <c r="AA122" s="23">
        <f>EXP(-LN(2)/25)*AA121+(1-EXP(-LN(2)/25))/(LN(2)/25)*Calculateur!V122*Calculateur!X122*VLOOKUP('Données projet'!$B$9,Paramètres!$A$1:$I$89,3,0)*0.475*44/12</f>
        <v>0</v>
      </c>
      <c r="AB122" s="23">
        <f>EXP(-LN(2)/2)*AB121+(1-EXP(-LN(2)/2))/(LN(2)/2)*V122*Y122*VLOOKUP('Données projet'!$B$9,Paramètres!$A$1:$I$89,3,0)*0.475*44/12</f>
        <v>0</v>
      </c>
      <c r="AC122" s="24">
        <f t="shared" si="57"/>
        <v>0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-1.1368683772161603E-13</v>
      </c>
      <c r="AJ122" s="14">
        <f>AI122*VLOOKUP('Données projet'!$B$10,Paramètres!$A$1:$I$89,3,0)*VLOOKUP('Données projet'!$B$10,Paramètres!$A$1:$I$89,5,0)</f>
        <v>-9.9316821433603781E-14</v>
      </c>
      <c r="AK122" s="14" t="e">
        <f t="shared" si="89"/>
        <v>#NUM!</v>
      </c>
      <c r="AL122" s="22" t="e">
        <f t="shared" si="58"/>
        <v>#NUM!</v>
      </c>
      <c r="AM122" s="60" t="e">
        <f t="shared" si="59"/>
        <v>#NUM!</v>
      </c>
      <c r="AN122" s="60">
        <f ca="1">AVERAGE(OFFSET($AM$3,0,0,'Données projet'!$E$10+1,1))-AVERAGE(OFFSET($H$3,0,0,'Données projet'!$E$10+1,1))</f>
        <v>274.66236526869056</v>
      </c>
      <c r="AO122" s="60">
        <f t="shared" si="90"/>
        <v>256.90876395053073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>
        <f>EXP(-LN(2)/35)*AU121+(1-EXP(-LN(2)/35))/(LN(2)/35)*AQ122*AR122*VLOOKUP('Données projet'!$B$10,Paramètres!$A$1:$I$89,3,0)*0.475*44/12</f>
        <v>0</v>
      </c>
      <c r="AV122" s="23">
        <f>EXP(-LN(2)/25)*AV121+(1-EXP(-LN(2)/25))/(LN(2)/25)*Calculateur!AQ122*Calculateur!AS122*VLOOKUP('Données projet'!$B$10,Paramètres!$A$1:$I$89,3,0)*0.475*44/12</f>
        <v>0</v>
      </c>
      <c r="AW122" s="23">
        <f>EXP(-LN(2)/2)*AW121+(1-EXP(-LN(2)/2))/(LN(2)/2)*AQ122*AT122*VLOOKUP('Données projet'!$B$10,Paramètres!$A$1:$I$89,3,0)*0.475*44/12</f>
        <v>0</v>
      </c>
      <c r="AX122" s="23">
        <f t="shared" si="60"/>
        <v>0</v>
      </c>
      <c r="AY122" s="76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4.5</v>
      </c>
      <c r="BD122" s="13">
        <f>IF('Données projet'!$A$88&gt;35,BD121+BC122-BL121,IF(A122&lt;'Données projet'!$A$88,$BA$205^A122,IF(A122='Données projet'!$A$88,'Données projet'!$B$88,BD121+BC122-BL121)))</f>
        <v>347.49999999999989</v>
      </c>
      <c r="BE122" s="14">
        <f>BD122*VLOOKUP('Données projet'!$B$11,Paramètres!$A$1:$I$89,3,0)*VLOOKUP('Données projet'!$B$11,Paramètres!$A$1:$I$89,5,0)</f>
        <v>314.41799999999989</v>
      </c>
      <c r="BF122" s="14">
        <f t="shared" si="91"/>
        <v>74.190723151497338</v>
      </c>
      <c r="BG122" s="22">
        <f t="shared" si="61"/>
        <v>676.82685948885762</v>
      </c>
      <c r="BH122" s="60">
        <f t="shared" si="62"/>
        <v>970.16019282219099</v>
      </c>
      <c r="BI122" s="60">
        <f ca="1">AVERAGE(OFFSET($BH$3,0,0,'Données projet'!$E$11+1,1))-AVERAGE(OFFSET($H$3,0,0,'Données projet'!$E$11+1,1))</f>
        <v>529.25712986118265</v>
      </c>
      <c r="BJ122" s="60">
        <f t="shared" si="92"/>
        <v>278.21741231699929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>
        <f>EXP(-LN(2)/35)*BP121+(1-EXP(-LN(2)/35))/(LN(2)/35)*BL122*BM122*VLOOKUP('Données projet'!$B$11,Paramètres!$A$1:$I$89,3,0)*0.475*44/12</f>
        <v>0</v>
      </c>
      <c r="BQ122" s="23">
        <f>EXP(-LN(2)/25)*BQ121+(1-EXP(-LN(2)/25))/(LN(2)/25)*Calculateur!BL122*Calculateur!BN122*VLOOKUP('Données projet'!$B$11,Paramètres!$A$1:$I$89,3,0)*0.475*44/12</f>
        <v>0</v>
      </c>
      <c r="BR122" s="23">
        <f>EXP(-LN(2)/2)*BR121+(1-EXP(-LN(2)/2))/(LN(2)/2)*BL122*BO122*VLOOKUP('Données projet'!$B$11,Paramètres!$A$1:$I$89,3,0)*0.475*44/12</f>
        <v>0</v>
      </c>
      <c r="BS122" s="24">
        <f t="shared" si="63"/>
        <v>0</v>
      </c>
      <c r="BT122" s="77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4.5</v>
      </c>
      <c r="BY122" s="13">
        <f>IF('Données projet'!$A$114&gt;35,BY121+BX122-CG121,IF(A122&lt;'Données projet'!$A$114,$BV$205^A122,IF(A122='Données projet'!$A$114,'Données projet'!$B$114,BY121+BX122-CG121)))</f>
        <v>347.49999999999989</v>
      </c>
      <c r="BZ122" s="14">
        <f>BY122*VLOOKUP('Données projet'!$B$12,Paramètres!$A$1:$I$89,3,0)*VLOOKUP('Données projet'!$B$12,Paramètres!$A$1:$I$89,5,0)</f>
        <v>352.3649999999999</v>
      </c>
      <c r="CA122" s="14">
        <f t="shared" si="93"/>
        <v>82.049298267873581</v>
      </c>
      <c r="CB122" s="22">
        <f t="shared" si="64"/>
        <v>756.60490281654631</v>
      </c>
      <c r="CC122" s="60">
        <f t="shared" si="65"/>
        <v>1049.9382361498797</v>
      </c>
      <c r="CD122" s="60">
        <f ca="1">AVERAGE(OFFSET($CC$3,0,0,'Données projet'!$E$12+1,1))-AVERAGE(OFFSET($H$3,0,0,'Données projet'!$E$12+1,1))</f>
        <v>587.74247372331615</v>
      </c>
      <c r="CE122" s="60">
        <f t="shared" si="94"/>
        <v>306.61893266146666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>
        <f>EXP(-LN(2)/35)*CK121+(1-EXP(-LN(2)/35))/(LN(2)/35)*CG122*CH122*VLOOKUP('Données projet'!$B$12,Paramètres!$A$1:$I$89,3,0)*0.475*44/12</f>
        <v>0</v>
      </c>
      <c r="CL122" s="23">
        <f>EXP(-LN(2)/25)*CL121+(1-EXP(-LN(2)/25))/(LN(2)/25)*Calculateur!CG122*Calculateur!CI122*VLOOKUP('Données projet'!$B$12,Paramètres!$A$1:$I$89,3,0)*0.475*44/12</f>
        <v>0</v>
      </c>
      <c r="CM122" s="23">
        <f>EXP(-LN(2)/2)*CM121+(1-EXP(-LN(2)/2))/(LN(2)/2)*CG122*CJ122*VLOOKUP('Données projet'!$B$12,Paramètres!$A$1:$I$89,3,0)*0.475*44/12</f>
        <v>0</v>
      </c>
      <c r="CN122" s="24">
        <f t="shared" si="66"/>
        <v>0</v>
      </c>
      <c r="CO122" s="77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4.5</v>
      </c>
      <c r="CT122" s="13">
        <f>IF('Données projet'!$A$140&gt;35,CT121+CS122-DB121,IF(A122&lt;'Données projet'!$A$140,$CQ$205^A122,IF(A122='Données projet'!$A$140,'Données projet'!$B$140,CT121+CS122-DB121)))</f>
        <v>347.49999999999989</v>
      </c>
      <c r="CU122" s="18">
        <f>CT122*VLOOKUP('Données projet'!$B$13,Paramètres!$A$1:$I$89,3,0)*VLOOKUP('Données projet'!$B$13,Paramètres!$A$1:$I$89,5,0)</f>
        <v>374.04899999999986</v>
      </c>
      <c r="CV122" s="14">
        <f t="shared" si="95"/>
        <v>86.495135969296754</v>
      </c>
      <c r="CW122" s="22">
        <f t="shared" si="67"/>
        <v>802.11437014652483</v>
      </c>
      <c r="CX122" s="60">
        <f t="shared" si="68"/>
        <v>1095.4477034798581</v>
      </c>
      <c r="CY122" s="60">
        <f ca="1">AVERAGE(OFFSET($CX$3,0,0,'Données projet'!$E$13+1,1))-AVERAGE(OFFSET($H$3,0,0,'Données projet'!$E$13+1,1))</f>
        <v>621.10465023992288</v>
      </c>
      <c r="CZ122" s="60">
        <f t="shared" si="96"/>
        <v>322.81767004794284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>
        <f>EXP(-LN(2)/35)*DF121+(1-EXP(-LN(2)/35))/(LN(2)/35)*DB122*DC122*VLOOKUP('Données projet'!$B$13,Paramètres!$A$1:$I$89,3,0)*0.475*44/12</f>
        <v>0</v>
      </c>
      <c r="DG122" s="23">
        <f>EXP(-LN(2)/25)*DG121+(1-EXP(-LN(2)/25))/(LN(2)/25)*Calculateur!DB122*Calculateur!DD122*VLOOKUP('Données projet'!$B$13,Paramètres!$A$1:$I$89,3,0)*0.475*44/12</f>
        <v>0</v>
      </c>
      <c r="DH122" s="23">
        <f>EXP(-LN(2)/2)*DH121+(1-EXP(-LN(2)/2))/(LN(2)/2)*DB122*DE122*VLOOKUP('Données projet'!$B$13,Paramètres!$A$1:$I$89,3,0)*0.475*44/12</f>
        <v>0</v>
      </c>
      <c r="DI122" s="24">
        <f t="shared" si="69"/>
        <v>0</v>
      </c>
      <c r="DJ122" s="77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4.5</v>
      </c>
      <c r="DO122" s="13">
        <f>IF('Données projet'!$A$166&gt;35,DO121+DN122-DW121,IF(A122&lt;'Données projet'!$A$166,$DL$205^A122,IF(A122='Données projet'!$A$166,'Données projet'!$B$166,DO121+DN122-DW121)))</f>
        <v>347.49999999999989</v>
      </c>
      <c r="DP122" s="18">
        <f>DO122*VLOOKUP('Données projet'!$B$14,Paramètres!$A$1:$I$89,3,0)*VLOOKUP('Données projet'!$B$14,Paramètres!$A$1:$I$89,5,0)</f>
        <v>336.10199999999992</v>
      </c>
      <c r="DQ122" s="14">
        <f t="shared" si="97"/>
        <v>78.694055268111313</v>
      </c>
      <c r="DR122" s="22">
        <f t="shared" si="70"/>
        <v>722.43646292529365</v>
      </c>
      <c r="DS122" s="60">
        <f t="shared" si="71"/>
        <v>1015.7697962586269</v>
      </c>
      <c r="DT122" s="60">
        <f ca="1">AVERAGE(OFFSET($DS$3,0,0,'Données projet'!$E$14+1,1))-AVERAGE(OFFSET($H$3,0,0,'Données projet'!$E$14+1,1))</f>
        <v>562.69380557620775</v>
      </c>
      <c r="DU122" s="60">
        <f t="shared" si="98"/>
        <v>294.45557293177131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>
        <f>EXP(-LN(2)/35)*EA121+(1-EXP(-LN(2)/35))/(LN(2)/35)*DW122*DX122*VLOOKUP('Données projet'!$B$14,Paramètres!$A$1:$I$89,3,0)*0.475*44/12</f>
        <v>0</v>
      </c>
      <c r="EB122" s="23">
        <f>EXP(-LN(2)/25)*EB121+(1-EXP(-LN(2)/25))/(LN(2)/25)*Calculateur!DW122*Calculateur!DY122*VLOOKUP('Données projet'!$B$14,Paramètres!$A$1:$I$89,3,0)*0.475*44/12</f>
        <v>0</v>
      </c>
      <c r="EC122" s="23">
        <f>EXP(-LN(2)/2)*EC121+(1-EXP(-LN(2)/2))/(LN(2)/2)*DW122*DZ122*VLOOKUP('Données projet'!$B$14,Paramètres!$A$1:$I$89,3,0)*0.475*44/12</f>
        <v>0</v>
      </c>
      <c r="ED122" s="24">
        <f t="shared" si="72"/>
        <v>0</v>
      </c>
      <c r="EE122" s="77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1.1368683772161603E-13</v>
      </c>
      <c r="EK122" s="18">
        <f>EJ122*VLOOKUP('Données projet'!$B$15,Paramètres!$A$1:$I$89,3,0)*VLOOKUP('Données projet'!$B$15,Paramètres!$A$1:$I$89,5,0)</f>
        <v>8.8675733422860506E-14</v>
      </c>
      <c r="EL122" s="14">
        <f t="shared" si="99"/>
        <v>1.3509285393066301E-12</v>
      </c>
      <c r="EM122" s="22">
        <f t="shared" si="73"/>
        <v>2.5073107750038623E-12</v>
      </c>
      <c r="EN122" s="60">
        <f t="shared" si="74"/>
        <v>293.33333333333582</v>
      </c>
      <c r="EO122" s="60">
        <f ca="1">AVERAGE(OFFSET($EN$3,0,0,'Données projet'!$E$15+1,1))-AVERAGE(OFFSET($H$3,0,0,'Données projet'!$E$15+1,1))</f>
        <v>292.57482726862594</v>
      </c>
      <c r="EP122" s="60">
        <f t="shared" si="100"/>
        <v>283.48738729114024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>
        <f>EXP(-LN(2)/35)*EV121+(1-EXP(-LN(2)/35))/(LN(2)/35)*ER122*ES122*VLOOKUP('Données projet'!$B$15,Paramètres!$A$1:$I$89,3,0)*0.475*44/12</f>
        <v>0</v>
      </c>
      <c r="EW122" s="23">
        <f>EXP(-LN(2)/25)*EW121+(1-EXP(-LN(2)/25))/(LN(2)/25)*Calculateur!ER122*Calculateur!ET122*VLOOKUP('Données projet'!$B$15,Paramètres!$A$1:$I$89,3,0)*0.475*44/12</f>
        <v>0</v>
      </c>
      <c r="EX122" s="23">
        <f>EXP(-LN(2)/2)*EX121+(1-EXP(-LN(2)/2))/(LN(2)/2)*ER122*EU122*VLOOKUP('Données projet'!$B$15,Paramètres!$A$1:$I$89,3,0)*0.475*44/12</f>
        <v>0</v>
      </c>
      <c r="EY122" s="24">
        <f t="shared" si="75"/>
        <v>0</v>
      </c>
      <c r="EZ122" s="77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0" t="e">
        <f t="shared" si="77"/>
        <v>#N/A</v>
      </c>
      <c r="FJ122" s="60" t="e">
        <f ca="1">AVERAGE(OFFSET($FI$3,0,0,'Données projet'!$E$16+1,1))-AVERAGE(OFFSET($H$3,0,0,'Données projet'!$E$16+1,1))</f>
        <v>#N/A</v>
      </c>
      <c r="FK122" s="60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77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0" t="e">
        <f t="shared" si="80"/>
        <v>#N/A</v>
      </c>
      <c r="GE122" s="60" t="e">
        <f ca="1">AVERAGE(OFFSET($GD$3,0,0,'Données projet'!$E$17+1,1))-AVERAGE(OFFSET($H$3,0,0,'Données projet'!$E$17+1,1))</f>
        <v>#N/A</v>
      </c>
      <c r="GF122" s="60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77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0" t="e">
        <f t="shared" si="83"/>
        <v>#N/A</v>
      </c>
      <c r="GZ122" s="60" t="e">
        <f ca="1">AVERAGE(OFFSET($GY$3,0,0,'Données projet'!$E$18+1,1))-AVERAGE(OFFSET($H$3,0,0,'Données projet'!$E$18+1,1))</f>
        <v>#N/A</v>
      </c>
      <c r="HA122" s="60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25">
      <c r="A123" s="11">
        <f t="shared" si="85"/>
        <v>120</v>
      </c>
      <c r="B123" s="74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2">
        <f t="shared" si="86"/>
        <v>0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0</v>
      </c>
      <c r="H123" s="67">
        <f t="shared" si="56"/>
        <v>256.66666666666669</v>
      </c>
      <c r="I123" s="7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>
        <f>VLOOKUP(A123,'Données projet'!$A$35:$I$55,2,0)</f>
        <v>285.89743589743591</v>
      </c>
      <c r="L123" s="13">
        <f>VLOOKUP(A123,'Données projet'!$A$35:$I$55,9,0)</f>
        <v>3.141025641025641</v>
      </c>
      <c r="M123" s="13">
        <f t="array" ref="M123">INDEX(L:L,MIN(IF(ISNUMBER(L123:L319),ROW(L123:L319),"")))</f>
        <v>3.141025641025641</v>
      </c>
      <c r="N123" s="14">
        <f>IF('Données projet'!$A$36&gt;35,N122+M123-V122,IF(A123&lt;'Données projet'!$A$36,$K$205^A123,IF(A123='Données projet'!$A$36,'Données projet'!$B$36,N122+M123-V122)))</f>
        <v>285.89743589743603</v>
      </c>
      <c r="O123" s="14">
        <f>N123*VLOOKUP('Données projet'!$B$9,Paramètres!$A$1:$I$89,3,0)*VLOOKUP('Données projet'!$B$9,Paramètres!$A$1:$I$89,5,0)</f>
        <v>272.06000000000012</v>
      </c>
      <c r="P123" s="14">
        <f t="shared" si="87"/>
        <v>65.286259698592175</v>
      </c>
      <c r="Q123" s="22">
        <f t="shared" si="107"/>
        <v>587.54473564171485</v>
      </c>
      <c r="R123" s="60">
        <f t="shared" si="55"/>
        <v>880.87806897504811</v>
      </c>
      <c r="S123" s="60">
        <f ca="1">AVERAGE(OFFSET($R$3,0,0,'Données projet'!$E$9+1,1))-AVERAGE(OFFSET($H$3,0,0,'Données projet'!$E$9+1,1))</f>
        <v>403.49781966317852</v>
      </c>
      <c r="T123" s="60">
        <f t="shared" si="88"/>
        <v>326.06674572505409</v>
      </c>
      <c r="U123" s="16">
        <f>IF(ISNA(VLOOKUP(A123,'Données projet'!$A$35:$I$55,3,0)),0,VLOOKUP(A123,'Données projet'!$A$35:$I$55,3,0))</f>
        <v>11</v>
      </c>
      <c r="V123" s="16">
        <f>IF(ISNA(VLOOKUP(A123,'Données projet'!$A$35:$I$55,4,0)),0,VLOOKUP(A123,'Données projet'!$A$35:$I$55,4,0))</f>
        <v>285.89743589743591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0</v>
      </c>
      <c r="AA123" s="23">
        <f>EXP(-LN(2)/25)*AA122+(1-EXP(-LN(2)/25))/(LN(2)/25)*Calculateur!V123*Calculateur!X123*VLOOKUP('Données projet'!$B$9,Paramètres!$A$1:$I$89,3,0)*0.475*44/12</f>
        <v>0</v>
      </c>
      <c r="AB123" s="23">
        <f>EXP(-LN(2)/2)*AB122+(1-EXP(-LN(2)/2))/(LN(2)/2)*V123*Y123*VLOOKUP('Données projet'!$B$9,Paramètres!$A$1:$I$89,3,0)*0.475*44/12</f>
        <v>0</v>
      </c>
      <c r="AC123" s="24">
        <f t="shared" si="57"/>
        <v>0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-1.1368683772161603E-13</v>
      </c>
      <c r="AJ123" s="14">
        <f>AI123*VLOOKUP('Données projet'!$B$10,Paramètres!$A$1:$I$89,3,0)*VLOOKUP('Données projet'!$B$10,Paramètres!$A$1:$I$89,5,0)</f>
        <v>-9.9316821433603781E-14</v>
      </c>
      <c r="AK123" s="14" t="e">
        <f t="shared" si="89"/>
        <v>#NUM!</v>
      </c>
      <c r="AL123" s="22" t="e">
        <f t="shared" si="58"/>
        <v>#NUM!</v>
      </c>
      <c r="AM123" s="60" t="e">
        <f t="shared" si="59"/>
        <v>#NUM!</v>
      </c>
      <c r="AN123" s="60">
        <f ca="1">AVERAGE(OFFSET($AM$3,0,0,'Données projet'!$E$10+1,1))-AVERAGE(OFFSET($H$3,0,0,'Données projet'!$E$10+1,1))</f>
        <v>274.66236526869056</v>
      </c>
      <c r="AO123" s="60">
        <f t="shared" si="90"/>
        <v>256.90876395053073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>
        <f>EXP(-LN(2)/35)*AU122+(1-EXP(-LN(2)/35))/(LN(2)/35)*AQ123*AR123*VLOOKUP('Données projet'!$B$10,Paramètres!$A$1:$I$89,3,0)*0.475*44/12</f>
        <v>0</v>
      </c>
      <c r="AV123" s="23">
        <f>EXP(-LN(2)/25)*AV122+(1-EXP(-LN(2)/25))/(LN(2)/25)*Calculateur!AQ123*Calculateur!AS123*VLOOKUP('Données projet'!$B$10,Paramètres!$A$1:$I$89,3,0)*0.475*44/12</f>
        <v>0</v>
      </c>
      <c r="AW123" s="23">
        <f>EXP(-LN(2)/2)*AW122+(1-EXP(-LN(2)/2))/(LN(2)/2)*AQ123*AT123*VLOOKUP('Données projet'!$B$10,Paramètres!$A$1:$I$89,3,0)*0.475*44/12</f>
        <v>0</v>
      </c>
      <c r="AX123" s="23">
        <f t="shared" si="60"/>
        <v>0</v>
      </c>
      <c r="AY123" s="76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>
        <f>VLOOKUP(A123,'Données projet'!$A$87:$I$107,2,0)</f>
        <v>352</v>
      </c>
      <c r="BB123" s="13">
        <f>VLOOKUP(A123,'Données projet'!$A$87:$I$107,9,0)</f>
        <v>4.5</v>
      </c>
      <c r="BC123" s="13">
        <f t="array" ref="BC123">INDEX(BB:BB,MIN(IF(ISNUMBER(BB123:BB319),ROW(BB123:BB319),"")))</f>
        <v>4.5</v>
      </c>
      <c r="BD123" s="13">
        <f>IF('Données projet'!$A$88&gt;35,BD122+BC123-BL122,IF(A123&lt;'Données projet'!$A$88,$BA$205^A123,IF(A123='Données projet'!$A$88,'Données projet'!$B$88,BD122+BC123-BL122)))</f>
        <v>351.99999999999989</v>
      </c>
      <c r="BE123" s="14">
        <f>BD123*VLOOKUP('Données projet'!$B$11,Paramètres!$A$1:$I$89,3,0)*VLOOKUP('Données projet'!$B$11,Paramètres!$A$1:$I$89,5,0)</f>
        <v>318.48959999999988</v>
      </c>
      <c r="BF123" s="14">
        <f t="shared" si="91"/>
        <v>75.038999086150227</v>
      </c>
      <c r="BG123" s="22">
        <f t="shared" si="61"/>
        <v>685.39564340837808</v>
      </c>
      <c r="BH123" s="60">
        <f t="shared" si="62"/>
        <v>978.72897674171145</v>
      </c>
      <c r="BI123" s="60">
        <f ca="1">AVERAGE(OFFSET($BH$3,0,0,'Données projet'!$E$11+1,1))-AVERAGE(OFFSET($H$3,0,0,'Données projet'!$E$11+1,1))</f>
        <v>529.25712986118265</v>
      </c>
      <c r="BJ123" s="60">
        <f t="shared" si="92"/>
        <v>278.21741231699929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>
        <f>EXP(-LN(2)/35)*BP122+(1-EXP(-LN(2)/35))/(LN(2)/35)*BL123*BM123*VLOOKUP('Données projet'!$B$11,Paramètres!$A$1:$I$89,3,0)*0.475*44/12</f>
        <v>0</v>
      </c>
      <c r="BQ123" s="23">
        <f>EXP(-LN(2)/25)*BQ122+(1-EXP(-LN(2)/25))/(LN(2)/25)*Calculateur!BL123*Calculateur!BN123*VLOOKUP('Données projet'!$B$11,Paramètres!$A$1:$I$89,3,0)*0.475*44/12</f>
        <v>0</v>
      </c>
      <c r="BR123" s="23">
        <f>EXP(-LN(2)/2)*BR122+(1-EXP(-LN(2)/2))/(LN(2)/2)*BL123*BO123*VLOOKUP('Données projet'!$B$11,Paramètres!$A$1:$I$89,3,0)*0.475*44/12</f>
        <v>0</v>
      </c>
      <c r="BS123" s="24">
        <f t="shared" si="63"/>
        <v>0</v>
      </c>
      <c r="BT123" s="77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>
        <f>VLOOKUP(A123,'Données projet'!$A$113:$I$133,2,0)</f>
        <v>352</v>
      </c>
      <c r="BW123" s="13">
        <f>VLOOKUP(A123,'Données projet'!$A$113:$I$133,9,0)</f>
        <v>4.5</v>
      </c>
      <c r="BX123" s="13">
        <f t="array" ref="BX123">INDEX(BW:BW,MIN(IF(ISNUMBER(BW123:BW319),ROW(BW123:BW319),"")))</f>
        <v>4.5</v>
      </c>
      <c r="BY123" s="13">
        <f>IF('Données projet'!$A$114&gt;35,BY122+BX123-CG122,IF(A123&lt;'Données projet'!$A$114,$BV$205^A123,IF(A123='Données projet'!$A$114,'Données projet'!$B$114,BY122+BX123-CG122)))</f>
        <v>351.99999999999989</v>
      </c>
      <c r="BZ123" s="14">
        <f>BY123*VLOOKUP('Données projet'!$B$12,Paramètres!$A$1:$I$89,3,0)*VLOOKUP('Données projet'!$B$12,Paramètres!$A$1:$I$89,5,0)</f>
        <v>356.92799999999988</v>
      </c>
      <c r="CA123" s="14">
        <f t="shared" si="93"/>
        <v>82.987426947838912</v>
      </c>
      <c r="CB123" s="22">
        <f t="shared" si="64"/>
        <v>766.18603526748586</v>
      </c>
      <c r="CC123" s="60">
        <f t="shared" si="65"/>
        <v>1059.5193686008192</v>
      </c>
      <c r="CD123" s="60">
        <f ca="1">AVERAGE(OFFSET($CC$3,0,0,'Données projet'!$E$12+1,1))-AVERAGE(OFFSET($H$3,0,0,'Données projet'!$E$12+1,1))</f>
        <v>587.74247372331615</v>
      </c>
      <c r="CE123" s="60">
        <f t="shared" si="94"/>
        <v>306.61893266146666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>
        <f>EXP(-LN(2)/35)*CK122+(1-EXP(-LN(2)/35))/(LN(2)/35)*CG123*CH123*VLOOKUP('Données projet'!$B$12,Paramètres!$A$1:$I$89,3,0)*0.475*44/12</f>
        <v>0</v>
      </c>
      <c r="CL123" s="23">
        <f>EXP(-LN(2)/25)*CL122+(1-EXP(-LN(2)/25))/(LN(2)/25)*Calculateur!CG123*Calculateur!CI123*VLOOKUP('Données projet'!$B$12,Paramètres!$A$1:$I$89,3,0)*0.475*44/12</f>
        <v>0</v>
      </c>
      <c r="CM123" s="23">
        <f>EXP(-LN(2)/2)*CM122+(1-EXP(-LN(2)/2))/(LN(2)/2)*CG123*CJ123*VLOOKUP('Données projet'!$B$12,Paramètres!$A$1:$I$89,3,0)*0.475*44/12</f>
        <v>0</v>
      </c>
      <c r="CN123" s="24">
        <f t="shared" si="66"/>
        <v>0</v>
      </c>
      <c r="CO123" s="77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>
        <f>VLOOKUP(A123,'Données projet'!$A$139:$I$159,2,0)</f>
        <v>352</v>
      </c>
      <c r="CR123" s="13">
        <f>VLOOKUP(A123,'Données projet'!$A$139:$I$159,9,0)</f>
        <v>4.5</v>
      </c>
      <c r="CS123" s="13">
        <f t="array" ref="CS123">INDEX(CR:CR,MIN(IF(ISNUMBER(CR123:CR319),ROW(CR123:CR319),"")))</f>
        <v>4.5</v>
      </c>
      <c r="CT123" s="13">
        <f>IF('Données projet'!$A$140&gt;35,CT122+CS123-DB122,IF(A123&lt;'Données projet'!$A$140,$CQ$205^A123,IF(A123='Données projet'!$A$140,'Données projet'!$B$140,CT122+CS123-DB122)))</f>
        <v>351.99999999999989</v>
      </c>
      <c r="CU123" s="18">
        <f>CT123*VLOOKUP('Données projet'!$B$13,Paramètres!$A$1:$I$89,3,0)*VLOOKUP('Données projet'!$B$13,Paramètres!$A$1:$I$89,5,0)</f>
        <v>378.89279999999985</v>
      </c>
      <c r="CV123" s="14">
        <f t="shared" si="95"/>
        <v>87.48409711147977</v>
      </c>
      <c r="CW123" s="22">
        <f t="shared" si="67"/>
        <v>812.27309580249357</v>
      </c>
      <c r="CX123" s="60">
        <f t="shared" si="68"/>
        <v>1105.6064291358268</v>
      </c>
      <c r="CY123" s="60">
        <f ca="1">AVERAGE(OFFSET($CX$3,0,0,'Données projet'!$E$13+1,1))-AVERAGE(OFFSET($H$3,0,0,'Données projet'!$E$13+1,1))</f>
        <v>621.10465023992288</v>
      </c>
      <c r="CZ123" s="60">
        <f t="shared" si="96"/>
        <v>322.81767004794284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>
        <f>EXP(-LN(2)/35)*DF122+(1-EXP(-LN(2)/35))/(LN(2)/35)*DB123*DC123*VLOOKUP('Données projet'!$B$13,Paramètres!$A$1:$I$89,3,0)*0.475*44/12</f>
        <v>0</v>
      </c>
      <c r="DG123" s="23">
        <f>EXP(-LN(2)/25)*DG122+(1-EXP(-LN(2)/25))/(LN(2)/25)*Calculateur!DB123*Calculateur!DD123*VLOOKUP('Données projet'!$B$13,Paramètres!$A$1:$I$89,3,0)*0.475*44/12</f>
        <v>0</v>
      </c>
      <c r="DH123" s="23">
        <f>EXP(-LN(2)/2)*DH122+(1-EXP(-LN(2)/2))/(LN(2)/2)*DB123*DE123*VLOOKUP('Données projet'!$B$13,Paramètres!$A$1:$I$89,3,0)*0.475*44/12</f>
        <v>0</v>
      </c>
      <c r="DI123" s="24">
        <f t="shared" si="69"/>
        <v>0</v>
      </c>
      <c r="DJ123" s="77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>
        <f>VLOOKUP(A123,'Données projet'!$A$165:$I$185,2,0)</f>
        <v>352</v>
      </c>
      <c r="DM123" s="13">
        <f>VLOOKUP(A123,'Données projet'!$A$165:$I$185,9,0)</f>
        <v>4.5</v>
      </c>
      <c r="DN123" s="13">
        <f t="array" ref="DN123">INDEX(DM:DM,MIN(IF(ISNUMBER(DM123:DM319),ROW(DM123:DM319),"")))</f>
        <v>4.5</v>
      </c>
      <c r="DO123" s="13">
        <f>IF('Données projet'!$A$166&gt;35,DO122+DN123-DW122,IF(A123&lt;'Données projet'!$A$166,$DL$205^A123,IF(A123='Données projet'!$A$166,'Données projet'!$B$166,DO122+DN123-DW122)))</f>
        <v>351.99999999999989</v>
      </c>
      <c r="DP123" s="18">
        <f>DO123*VLOOKUP('Données projet'!$B$14,Paramètres!$A$1:$I$89,3,0)*VLOOKUP('Données projet'!$B$14,Paramètres!$A$1:$I$89,5,0)</f>
        <v>340.45439999999991</v>
      </c>
      <c r="DQ123" s="14">
        <f t="shared" si="97"/>
        <v>79.593821040010667</v>
      </c>
      <c r="DR123" s="22">
        <f t="shared" si="70"/>
        <v>731.58398497801829</v>
      </c>
      <c r="DS123" s="60">
        <f t="shared" si="71"/>
        <v>1024.9173183113517</v>
      </c>
      <c r="DT123" s="60">
        <f ca="1">AVERAGE(OFFSET($DS$3,0,0,'Données projet'!$E$14+1,1))-AVERAGE(OFFSET($H$3,0,0,'Données projet'!$E$14+1,1))</f>
        <v>562.69380557620775</v>
      </c>
      <c r="DU123" s="60">
        <f t="shared" si="98"/>
        <v>294.45557293177131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>
        <f>EXP(-LN(2)/35)*EA122+(1-EXP(-LN(2)/35))/(LN(2)/35)*DW123*DX123*VLOOKUP('Données projet'!$B$14,Paramètres!$A$1:$I$89,3,0)*0.475*44/12</f>
        <v>0</v>
      </c>
      <c r="EB123" s="23">
        <f>EXP(-LN(2)/25)*EB122+(1-EXP(-LN(2)/25))/(LN(2)/25)*Calculateur!DW123*Calculateur!DY123*VLOOKUP('Données projet'!$B$14,Paramètres!$A$1:$I$89,3,0)*0.475*44/12</f>
        <v>0</v>
      </c>
      <c r="EC123" s="23">
        <f>EXP(-LN(2)/2)*EC122+(1-EXP(-LN(2)/2))/(LN(2)/2)*DW123*DZ123*VLOOKUP('Données projet'!$B$14,Paramètres!$A$1:$I$89,3,0)*0.475*44/12</f>
        <v>0</v>
      </c>
      <c r="ED123" s="24">
        <f t="shared" si="72"/>
        <v>0</v>
      </c>
      <c r="EE123" s="77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1.1368683772161603E-13</v>
      </c>
      <c r="EK123" s="18">
        <f>EJ123*VLOOKUP('Données projet'!$B$15,Paramètres!$A$1:$I$89,3,0)*VLOOKUP('Données projet'!$B$15,Paramètres!$A$1:$I$89,5,0)</f>
        <v>8.8675733422860506E-14</v>
      </c>
      <c r="EL123" s="14">
        <f t="shared" si="99"/>
        <v>1.3509285393066301E-12</v>
      </c>
      <c r="EM123" s="22">
        <f t="shared" si="73"/>
        <v>2.5073107750038623E-12</v>
      </c>
      <c r="EN123" s="60">
        <f t="shared" si="74"/>
        <v>293.33333333333582</v>
      </c>
      <c r="EO123" s="60">
        <f ca="1">AVERAGE(OFFSET($EN$3,0,0,'Données projet'!$E$15+1,1))-AVERAGE(OFFSET($H$3,0,0,'Données projet'!$E$15+1,1))</f>
        <v>292.57482726862594</v>
      </c>
      <c r="EP123" s="60">
        <f t="shared" si="100"/>
        <v>283.48738729114024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>
        <f>EXP(-LN(2)/35)*EV122+(1-EXP(-LN(2)/35))/(LN(2)/35)*ER123*ES123*VLOOKUP('Données projet'!$B$15,Paramètres!$A$1:$I$89,3,0)*0.475*44/12</f>
        <v>0</v>
      </c>
      <c r="EW123" s="23">
        <f>EXP(-LN(2)/25)*EW122+(1-EXP(-LN(2)/25))/(LN(2)/25)*Calculateur!ER123*Calculateur!ET123*VLOOKUP('Données projet'!$B$15,Paramètres!$A$1:$I$89,3,0)*0.475*44/12</f>
        <v>0</v>
      </c>
      <c r="EX123" s="23">
        <f>EXP(-LN(2)/2)*EX122+(1-EXP(-LN(2)/2))/(LN(2)/2)*ER123*EU123*VLOOKUP('Données projet'!$B$15,Paramètres!$A$1:$I$89,3,0)*0.475*44/12</f>
        <v>0</v>
      </c>
      <c r="EY123" s="24">
        <f t="shared" si="75"/>
        <v>0</v>
      </c>
      <c r="EZ123" s="77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0" t="e">
        <f t="shared" si="77"/>
        <v>#N/A</v>
      </c>
      <c r="FJ123" s="60" t="e">
        <f ca="1">AVERAGE(OFFSET($FI$3,0,0,'Données projet'!$E$16+1,1))-AVERAGE(OFFSET($H$3,0,0,'Données projet'!$E$16+1,1))</f>
        <v>#N/A</v>
      </c>
      <c r="FK123" s="60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77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0" t="e">
        <f t="shared" si="80"/>
        <v>#N/A</v>
      </c>
      <c r="GE123" s="60" t="e">
        <f ca="1">AVERAGE(OFFSET($GD$3,0,0,'Données projet'!$E$17+1,1))-AVERAGE(OFFSET($H$3,0,0,'Données projet'!$E$17+1,1))</f>
        <v>#N/A</v>
      </c>
      <c r="GF123" s="60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77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0" t="e">
        <f t="shared" si="83"/>
        <v>#N/A</v>
      </c>
      <c r="GZ123" s="60" t="e">
        <f ca="1">AVERAGE(OFFSET($GY$3,0,0,'Données projet'!$E$18+1,1))-AVERAGE(OFFSET($H$3,0,0,'Données projet'!$E$18+1,1))</f>
        <v>#N/A</v>
      </c>
      <c r="HA123" s="60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25">
      <c r="A124" s="11">
        <f t="shared" si="85"/>
        <v>121</v>
      </c>
      <c r="B124" s="74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2">
        <f t="shared" si="86"/>
        <v>0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0</v>
      </c>
      <c r="H124" s="67">
        <f t="shared" si="56"/>
        <v>256.66666666666669</v>
      </c>
      <c r="I124" s="7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1.1368683772161603E-13</v>
      </c>
      <c r="O124" s="14">
        <f>N124*VLOOKUP('Données projet'!$B$9,Paramètres!$A$1:$I$89,3,0)*VLOOKUP('Données projet'!$B$9,Paramètres!$A$1:$I$89,5,0)</f>
        <v>1.0818439477588981E-13</v>
      </c>
      <c r="P124" s="14">
        <f t="shared" si="87"/>
        <v>1.6104228458716316E-12</v>
      </c>
      <c r="Q124" s="22">
        <f t="shared" si="107"/>
        <v>2.9932409441277661E-12</v>
      </c>
      <c r="R124" s="60">
        <f t="shared" si="55"/>
        <v>293.33333333333633</v>
      </c>
      <c r="S124" s="60">
        <f ca="1">AVERAGE(OFFSET($R$3,0,0,'Données projet'!$E$9+1,1))-AVERAGE(OFFSET($H$3,0,0,'Données projet'!$E$9+1,1))</f>
        <v>403.49781966317852</v>
      </c>
      <c r="T124" s="60">
        <f t="shared" si="88"/>
        <v>326.06674572505409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0</v>
      </c>
      <c r="AA124" s="23">
        <f>EXP(-LN(2)/25)*AA123+(1-EXP(-LN(2)/25))/(LN(2)/25)*Calculateur!V124*Calculateur!X124*VLOOKUP('Données projet'!$B$9,Paramètres!$A$1:$I$89,3,0)*0.475*44/12</f>
        <v>0</v>
      </c>
      <c r="AB124" s="23">
        <f>EXP(-LN(2)/2)*AB123+(1-EXP(-LN(2)/2))/(LN(2)/2)*V124*Y124*VLOOKUP('Données projet'!$B$9,Paramètres!$A$1:$I$89,3,0)*0.475*44/12</f>
        <v>0</v>
      </c>
      <c r="AC124" s="24">
        <f t="shared" si="57"/>
        <v>0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-1.1368683772161603E-13</v>
      </c>
      <c r="AJ124" s="14">
        <f>AI124*VLOOKUP('Données projet'!$B$10,Paramètres!$A$1:$I$89,3,0)*VLOOKUP('Données projet'!$B$10,Paramètres!$A$1:$I$89,5,0)</f>
        <v>-9.9316821433603781E-14</v>
      </c>
      <c r="AK124" s="14" t="e">
        <f t="shared" si="89"/>
        <v>#NUM!</v>
      </c>
      <c r="AL124" s="22" t="e">
        <f t="shared" si="58"/>
        <v>#NUM!</v>
      </c>
      <c r="AM124" s="60" t="e">
        <f t="shared" si="59"/>
        <v>#NUM!</v>
      </c>
      <c r="AN124" s="60">
        <f ca="1">AVERAGE(OFFSET($AM$3,0,0,'Données projet'!$E$10+1,1))-AVERAGE(OFFSET($H$3,0,0,'Données projet'!$E$10+1,1))</f>
        <v>274.66236526869056</v>
      </c>
      <c r="AO124" s="60">
        <f t="shared" si="90"/>
        <v>256.90876395053073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>
        <f>EXP(-LN(2)/35)*AU123+(1-EXP(-LN(2)/35))/(LN(2)/35)*AQ124*AR124*VLOOKUP('Données projet'!$B$10,Paramètres!$A$1:$I$89,3,0)*0.475*44/12</f>
        <v>0</v>
      </c>
      <c r="AV124" s="23">
        <f>EXP(-LN(2)/25)*AV123+(1-EXP(-LN(2)/25))/(LN(2)/25)*Calculateur!AQ124*Calculateur!AS124*VLOOKUP('Données projet'!$B$10,Paramètres!$A$1:$I$89,3,0)*0.475*44/12</f>
        <v>0</v>
      </c>
      <c r="AW124" s="23">
        <f>EXP(-LN(2)/2)*AW123+(1-EXP(-LN(2)/2))/(LN(2)/2)*AQ124*AT124*VLOOKUP('Données projet'!$B$10,Paramètres!$A$1:$I$89,3,0)*0.475*44/12</f>
        <v>0</v>
      </c>
      <c r="AX124" s="23">
        <f t="shared" si="60"/>
        <v>0</v>
      </c>
      <c r="AY124" s="76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4.2</v>
      </c>
      <c r="BD124" s="13">
        <f>IF('Données projet'!$A$88&gt;35,BD123+BC124-BL123,IF(A124&lt;'Données projet'!$A$88,$BA$205^A124,IF(A124='Données projet'!$A$88,'Données projet'!$B$88,BD123+BC124-BL123)))</f>
        <v>356.19999999999987</v>
      </c>
      <c r="BE124" s="14">
        <f>BD124*VLOOKUP('Données projet'!$B$11,Paramètres!$A$1:$I$89,3,0)*VLOOKUP('Données projet'!$B$11,Paramètres!$A$1:$I$89,5,0)</f>
        <v>322.28975999999989</v>
      </c>
      <c r="BF124" s="14">
        <f t="shared" si="91"/>
        <v>75.829584879013211</v>
      </c>
      <c r="BG124" s="22">
        <f t="shared" si="61"/>
        <v>693.39119233094789</v>
      </c>
      <c r="BH124" s="60">
        <f t="shared" si="62"/>
        <v>986.72452566428115</v>
      </c>
      <c r="BI124" s="60">
        <f ca="1">AVERAGE(OFFSET($BH$3,0,0,'Données projet'!$E$11+1,1))-AVERAGE(OFFSET($H$3,0,0,'Données projet'!$E$11+1,1))</f>
        <v>529.25712986118265</v>
      </c>
      <c r="BJ124" s="60">
        <f t="shared" si="92"/>
        <v>278.21741231699929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>
        <f>EXP(-LN(2)/35)*BP123+(1-EXP(-LN(2)/35))/(LN(2)/35)*BL124*BM124*VLOOKUP('Données projet'!$B$11,Paramètres!$A$1:$I$89,3,0)*0.475*44/12</f>
        <v>0</v>
      </c>
      <c r="BQ124" s="23">
        <f>EXP(-LN(2)/25)*BQ123+(1-EXP(-LN(2)/25))/(LN(2)/25)*Calculateur!BL124*Calculateur!BN124*VLOOKUP('Données projet'!$B$11,Paramètres!$A$1:$I$89,3,0)*0.475*44/12</f>
        <v>0</v>
      </c>
      <c r="BR124" s="23">
        <f>EXP(-LN(2)/2)*BR123+(1-EXP(-LN(2)/2))/(LN(2)/2)*BL124*BO124*VLOOKUP('Données projet'!$B$11,Paramètres!$A$1:$I$89,3,0)*0.475*44/12</f>
        <v>0</v>
      </c>
      <c r="BS124" s="24">
        <f t="shared" si="63"/>
        <v>0</v>
      </c>
      <c r="BT124" s="77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4.2</v>
      </c>
      <c r="BY124" s="13">
        <f>IF('Données projet'!$A$114&gt;35,BY123+BX124-CG123,IF(A124&lt;'Données projet'!$A$114,$BV$205^A124,IF(A124='Données projet'!$A$114,'Données projet'!$B$114,BY123+BX124-CG123)))</f>
        <v>356.19999999999987</v>
      </c>
      <c r="BZ124" s="14">
        <f>BY124*VLOOKUP('Données projet'!$B$12,Paramètres!$A$1:$I$89,3,0)*VLOOKUP('Données projet'!$B$12,Paramètres!$A$1:$I$89,5,0)</f>
        <v>361.18679999999989</v>
      </c>
      <c r="CA124" s="14">
        <f t="shared" si="93"/>
        <v>83.861754717801489</v>
      </c>
      <c r="CB124" s="22">
        <f t="shared" si="64"/>
        <v>775.12623280017078</v>
      </c>
      <c r="CC124" s="60">
        <f t="shared" si="65"/>
        <v>1068.459566133504</v>
      </c>
      <c r="CD124" s="60">
        <f ca="1">AVERAGE(OFFSET($CC$3,0,0,'Données projet'!$E$12+1,1))-AVERAGE(OFFSET($H$3,0,0,'Données projet'!$E$12+1,1))</f>
        <v>587.74247372331615</v>
      </c>
      <c r="CE124" s="60">
        <f t="shared" si="94"/>
        <v>306.61893266146666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>
        <f>EXP(-LN(2)/35)*CK123+(1-EXP(-LN(2)/35))/(LN(2)/35)*CG124*CH124*VLOOKUP('Données projet'!$B$12,Paramètres!$A$1:$I$89,3,0)*0.475*44/12</f>
        <v>0</v>
      </c>
      <c r="CL124" s="23">
        <f>EXP(-LN(2)/25)*CL123+(1-EXP(-LN(2)/25))/(LN(2)/25)*Calculateur!CG124*Calculateur!CI124*VLOOKUP('Données projet'!$B$12,Paramètres!$A$1:$I$89,3,0)*0.475*44/12</f>
        <v>0</v>
      </c>
      <c r="CM124" s="23">
        <f>EXP(-LN(2)/2)*CM123+(1-EXP(-LN(2)/2))/(LN(2)/2)*CG124*CJ124*VLOOKUP('Données projet'!$B$12,Paramètres!$A$1:$I$89,3,0)*0.475*44/12</f>
        <v>0</v>
      </c>
      <c r="CN124" s="24">
        <f t="shared" si="66"/>
        <v>0</v>
      </c>
      <c r="CO124" s="77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4.2</v>
      </c>
      <c r="CT124" s="13">
        <f>IF('Données projet'!$A$140&gt;35,CT123+CS124-DB123,IF(A124&lt;'Données projet'!$A$140,$CQ$205^A124,IF(A124='Données projet'!$A$140,'Données projet'!$B$140,CT123+CS124-DB123)))</f>
        <v>356.19999999999987</v>
      </c>
      <c r="CU124" s="18">
        <f>CT124*VLOOKUP('Données projet'!$B$13,Paramètres!$A$1:$I$89,3,0)*VLOOKUP('Données projet'!$B$13,Paramètres!$A$1:$I$89,5,0)</f>
        <v>383.41367999999989</v>
      </c>
      <c r="CV124" s="14">
        <f t="shared" si="95"/>
        <v>88.405800294092558</v>
      </c>
      <c r="CW124" s="22">
        <f t="shared" si="67"/>
        <v>821.75226151221102</v>
      </c>
      <c r="CX124" s="60">
        <f t="shared" si="68"/>
        <v>1115.0855948455444</v>
      </c>
      <c r="CY124" s="60">
        <f ca="1">AVERAGE(OFFSET($CX$3,0,0,'Données projet'!$E$13+1,1))-AVERAGE(OFFSET($H$3,0,0,'Données projet'!$E$13+1,1))</f>
        <v>621.10465023992288</v>
      </c>
      <c r="CZ124" s="60">
        <f t="shared" si="96"/>
        <v>322.81767004794284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>
        <f>EXP(-LN(2)/35)*DF123+(1-EXP(-LN(2)/35))/(LN(2)/35)*DB124*DC124*VLOOKUP('Données projet'!$B$13,Paramètres!$A$1:$I$89,3,0)*0.475*44/12</f>
        <v>0</v>
      </c>
      <c r="DG124" s="23">
        <f>EXP(-LN(2)/25)*DG123+(1-EXP(-LN(2)/25))/(LN(2)/25)*Calculateur!DB124*Calculateur!DD124*VLOOKUP('Données projet'!$B$13,Paramètres!$A$1:$I$89,3,0)*0.475*44/12</f>
        <v>0</v>
      </c>
      <c r="DH124" s="23">
        <f>EXP(-LN(2)/2)*DH123+(1-EXP(-LN(2)/2))/(LN(2)/2)*DB124*DE124*VLOOKUP('Données projet'!$B$13,Paramètres!$A$1:$I$89,3,0)*0.475*44/12</f>
        <v>0</v>
      </c>
      <c r="DI124" s="24">
        <f t="shared" si="69"/>
        <v>0</v>
      </c>
      <c r="DJ124" s="77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4.2</v>
      </c>
      <c r="DO124" s="13">
        <f>IF('Données projet'!$A$166&gt;35,DO123+DN124-DW123,IF(A124&lt;'Données projet'!$A$166,$DL$205^A124,IF(A124='Données projet'!$A$166,'Données projet'!$B$166,DO123+DN124-DW123)))</f>
        <v>356.19999999999987</v>
      </c>
      <c r="DP124" s="18">
        <f>DO124*VLOOKUP('Données projet'!$B$14,Paramètres!$A$1:$I$89,3,0)*VLOOKUP('Données projet'!$B$14,Paramètres!$A$1:$I$89,5,0)</f>
        <v>344.51663999999988</v>
      </c>
      <c r="DQ124" s="14">
        <f t="shared" si="97"/>
        <v>80.432394913333098</v>
      </c>
      <c r="DR124" s="22">
        <f t="shared" si="70"/>
        <v>740.11956914072152</v>
      </c>
      <c r="DS124" s="60">
        <f t="shared" si="71"/>
        <v>1033.4529024740548</v>
      </c>
      <c r="DT124" s="60">
        <f ca="1">AVERAGE(OFFSET($DS$3,0,0,'Données projet'!$E$14+1,1))-AVERAGE(OFFSET($H$3,0,0,'Données projet'!$E$14+1,1))</f>
        <v>562.69380557620775</v>
      </c>
      <c r="DU124" s="60">
        <f t="shared" si="98"/>
        <v>294.45557293177131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>
        <f>EXP(-LN(2)/35)*EA123+(1-EXP(-LN(2)/35))/(LN(2)/35)*DW124*DX124*VLOOKUP('Données projet'!$B$14,Paramètres!$A$1:$I$89,3,0)*0.475*44/12</f>
        <v>0</v>
      </c>
      <c r="EB124" s="23">
        <f>EXP(-LN(2)/25)*EB123+(1-EXP(-LN(2)/25))/(LN(2)/25)*Calculateur!DW124*Calculateur!DY124*VLOOKUP('Données projet'!$B$14,Paramètres!$A$1:$I$89,3,0)*0.475*44/12</f>
        <v>0</v>
      </c>
      <c r="EC124" s="23">
        <f>EXP(-LN(2)/2)*EC123+(1-EXP(-LN(2)/2))/(LN(2)/2)*DW124*DZ124*VLOOKUP('Données projet'!$B$14,Paramètres!$A$1:$I$89,3,0)*0.475*44/12</f>
        <v>0</v>
      </c>
      <c r="ED124" s="24">
        <f t="shared" si="72"/>
        <v>0</v>
      </c>
      <c r="EE124" s="77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1.1368683772161603E-13</v>
      </c>
      <c r="EK124" s="18">
        <f>EJ124*VLOOKUP('Données projet'!$B$15,Paramètres!$A$1:$I$89,3,0)*VLOOKUP('Données projet'!$B$15,Paramètres!$A$1:$I$89,5,0)</f>
        <v>8.8675733422860506E-14</v>
      </c>
      <c r="EL124" s="14">
        <f t="shared" si="99"/>
        <v>1.3509285393066301E-12</v>
      </c>
      <c r="EM124" s="22">
        <f t="shared" si="73"/>
        <v>2.5073107750038623E-12</v>
      </c>
      <c r="EN124" s="60">
        <f t="shared" si="74"/>
        <v>293.33333333333582</v>
      </c>
      <c r="EO124" s="60">
        <f ca="1">AVERAGE(OFFSET($EN$3,0,0,'Données projet'!$E$15+1,1))-AVERAGE(OFFSET($H$3,0,0,'Données projet'!$E$15+1,1))</f>
        <v>292.57482726862594</v>
      </c>
      <c r="EP124" s="60">
        <f t="shared" si="100"/>
        <v>283.48738729114024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>
        <f>EXP(-LN(2)/35)*EV123+(1-EXP(-LN(2)/35))/(LN(2)/35)*ER124*ES124*VLOOKUP('Données projet'!$B$15,Paramètres!$A$1:$I$89,3,0)*0.475*44/12</f>
        <v>0</v>
      </c>
      <c r="EW124" s="23">
        <f>EXP(-LN(2)/25)*EW123+(1-EXP(-LN(2)/25))/(LN(2)/25)*Calculateur!ER124*Calculateur!ET124*VLOOKUP('Données projet'!$B$15,Paramètres!$A$1:$I$89,3,0)*0.475*44/12</f>
        <v>0</v>
      </c>
      <c r="EX124" s="23">
        <f>EXP(-LN(2)/2)*EX123+(1-EXP(-LN(2)/2))/(LN(2)/2)*ER124*EU124*VLOOKUP('Données projet'!$B$15,Paramètres!$A$1:$I$89,3,0)*0.475*44/12</f>
        <v>0</v>
      </c>
      <c r="EY124" s="24">
        <f t="shared" si="75"/>
        <v>0</v>
      </c>
      <c r="EZ124" s="77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0" t="e">
        <f t="shared" si="77"/>
        <v>#N/A</v>
      </c>
      <c r="FJ124" s="60" t="e">
        <f ca="1">AVERAGE(OFFSET($FI$3,0,0,'Données projet'!$E$16+1,1))-AVERAGE(OFFSET($H$3,0,0,'Données projet'!$E$16+1,1))</f>
        <v>#N/A</v>
      </c>
      <c r="FK124" s="60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77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0" t="e">
        <f t="shared" si="80"/>
        <v>#N/A</v>
      </c>
      <c r="GE124" s="60" t="e">
        <f ca="1">AVERAGE(OFFSET($GD$3,0,0,'Données projet'!$E$17+1,1))-AVERAGE(OFFSET($H$3,0,0,'Données projet'!$E$17+1,1))</f>
        <v>#N/A</v>
      </c>
      <c r="GF124" s="60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77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0" t="e">
        <f t="shared" si="83"/>
        <v>#N/A</v>
      </c>
      <c r="GZ124" s="60" t="e">
        <f ca="1">AVERAGE(OFFSET($GY$3,0,0,'Données projet'!$E$18+1,1))-AVERAGE(OFFSET($H$3,0,0,'Données projet'!$E$18+1,1))</f>
        <v>#N/A</v>
      </c>
      <c r="HA124" s="60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25">
      <c r="A125" s="11">
        <f t="shared" si="85"/>
        <v>122</v>
      </c>
      <c r="B125" s="74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2">
        <f t="shared" si="86"/>
        <v>0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0</v>
      </c>
      <c r="H125" s="67">
        <f t="shared" si="56"/>
        <v>256.66666666666669</v>
      </c>
      <c r="I125" s="7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1.1368683772161603E-13</v>
      </c>
      <c r="O125" s="14">
        <f>N125*VLOOKUP('Données projet'!$B$9,Paramètres!$A$1:$I$89,3,0)*VLOOKUP('Données projet'!$B$9,Paramètres!$A$1:$I$89,5,0)</f>
        <v>1.0818439477588981E-13</v>
      </c>
      <c r="P125" s="14">
        <f t="shared" si="87"/>
        <v>1.6104228458716316E-12</v>
      </c>
      <c r="Q125" s="22">
        <f t="shared" si="107"/>
        <v>2.9932409441277661E-12</v>
      </c>
      <c r="R125" s="60">
        <f t="shared" si="55"/>
        <v>293.33333333333633</v>
      </c>
      <c r="S125" s="60">
        <f ca="1">AVERAGE(OFFSET($R$3,0,0,'Données projet'!$E$9+1,1))-AVERAGE(OFFSET($H$3,0,0,'Données projet'!$E$9+1,1))</f>
        <v>403.49781966317852</v>
      </c>
      <c r="T125" s="60">
        <f t="shared" si="88"/>
        <v>326.06674572505409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0</v>
      </c>
      <c r="AA125" s="23">
        <f>EXP(-LN(2)/25)*AA124+(1-EXP(-LN(2)/25))/(LN(2)/25)*Calculateur!V125*Calculateur!X125*VLOOKUP('Données projet'!$B$9,Paramètres!$A$1:$I$89,3,0)*0.475*44/12</f>
        <v>0</v>
      </c>
      <c r="AB125" s="23">
        <f>EXP(-LN(2)/2)*AB124+(1-EXP(-LN(2)/2))/(LN(2)/2)*V125*Y125*VLOOKUP('Données projet'!$B$9,Paramètres!$A$1:$I$89,3,0)*0.475*44/12</f>
        <v>0</v>
      </c>
      <c r="AC125" s="24">
        <f t="shared" si="57"/>
        <v>0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-1.1368683772161603E-13</v>
      </c>
      <c r="AJ125" s="14">
        <f>AI125*VLOOKUP('Données projet'!$B$10,Paramètres!$A$1:$I$89,3,0)*VLOOKUP('Données projet'!$B$10,Paramètres!$A$1:$I$89,5,0)</f>
        <v>-9.9316821433603781E-14</v>
      </c>
      <c r="AK125" s="14" t="e">
        <f t="shared" si="89"/>
        <v>#NUM!</v>
      </c>
      <c r="AL125" s="22" t="e">
        <f t="shared" si="58"/>
        <v>#NUM!</v>
      </c>
      <c r="AM125" s="60" t="e">
        <f t="shared" si="59"/>
        <v>#NUM!</v>
      </c>
      <c r="AN125" s="60">
        <f ca="1">AVERAGE(OFFSET($AM$3,0,0,'Données projet'!$E$10+1,1))-AVERAGE(OFFSET($H$3,0,0,'Données projet'!$E$10+1,1))</f>
        <v>274.66236526869056</v>
      </c>
      <c r="AO125" s="60">
        <f t="shared" si="90"/>
        <v>256.90876395053073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>
        <f>EXP(-LN(2)/35)*AU124+(1-EXP(-LN(2)/35))/(LN(2)/35)*AQ125*AR125*VLOOKUP('Données projet'!$B$10,Paramètres!$A$1:$I$89,3,0)*0.475*44/12</f>
        <v>0</v>
      </c>
      <c r="AV125" s="23">
        <f>EXP(-LN(2)/25)*AV124+(1-EXP(-LN(2)/25))/(LN(2)/25)*Calculateur!AQ125*Calculateur!AS125*VLOOKUP('Données projet'!$B$10,Paramètres!$A$1:$I$89,3,0)*0.475*44/12</f>
        <v>0</v>
      </c>
      <c r="AW125" s="23">
        <f>EXP(-LN(2)/2)*AW124+(1-EXP(-LN(2)/2))/(LN(2)/2)*AQ125*AT125*VLOOKUP('Données projet'!$B$10,Paramètres!$A$1:$I$89,3,0)*0.475*44/12</f>
        <v>0</v>
      </c>
      <c r="AX125" s="23">
        <f t="shared" si="60"/>
        <v>0</v>
      </c>
      <c r="AY125" s="76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4.2</v>
      </c>
      <c r="BD125" s="13">
        <f>IF('Données projet'!$A$88&gt;35,BD124+BC125-BL124,IF(A125&lt;'Données projet'!$A$88,$BA$205^A125,IF(A125='Données projet'!$A$88,'Données projet'!$B$88,BD124+BC125-BL124)))</f>
        <v>360.39999999999986</v>
      </c>
      <c r="BE125" s="14">
        <f>BD125*VLOOKUP('Données projet'!$B$11,Paramètres!$A$1:$I$89,3,0)*VLOOKUP('Données projet'!$B$11,Paramètres!$A$1:$I$89,5,0)</f>
        <v>326.08991999999984</v>
      </c>
      <c r="BF125" s="14">
        <f t="shared" si="91"/>
        <v>76.619086320573132</v>
      </c>
      <c r="BG125" s="22">
        <f t="shared" si="61"/>
        <v>701.38485267499789</v>
      </c>
      <c r="BH125" s="60">
        <f t="shared" si="62"/>
        <v>994.71818600833126</v>
      </c>
      <c r="BI125" s="60">
        <f ca="1">AVERAGE(OFFSET($BH$3,0,0,'Données projet'!$E$11+1,1))-AVERAGE(OFFSET($H$3,0,0,'Données projet'!$E$11+1,1))</f>
        <v>529.25712986118265</v>
      </c>
      <c r="BJ125" s="60">
        <f t="shared" si="92"/>
        <v>278.21741231699929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>
        <f>EXP(-LN(2)/35)*BP124+(1-EXP(-LN(2)/35))/(LN(2)/35)*BL125*BM125*VLOOKUP('Données projet'!$B$11,Paramètres!$A$1:$I$89,3,0)*0.475*44/12</f>
        <v>0</v>
      </c>
      <c r="BQ125" s="23">
        <f>EXP(-LN(2)/25)*BQ124+(1-EXP(-LN(2)/25))/(LN(2)/25)*Calculateur!BL125*Calculateur!BN125*VLOOKUP('Données projet'!$B$11,Paramètres!$A$1:$I$89,3,0)*0.475*44/12</f>
        <v>0</v>
      </c>
      <c r="BR125" s="23">
        <f>EXP(-LN(2)/2)*BR124+(1-EXP(-LN(2)/2))/(LN(2)/2)*BL125*BO125*VLOOKUP('Données projet'!$B$11,Paramètres!$A$1:$I$89,3,0)*0.475*44/12</f>
        <v>0</v>
      </c>
      <c r="BS125" s="24">
        <f t="shared" si="63"/>
        <v>0</v>
      </c>
      <c r="BT125" s="77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4.2</v>
      </c>
      <c r="BY125" s="13">
        <f>IF('Données projet'!$A$114&gt;35,BY124+BX125-CG124,IF(A125&lt;'Données projet'!$A$114,$BV$205^A125,IF(A125='Données projet'!$A$114,'Données projet'!$B$114,BY124+BX125-CG124)))</f>
        <v>360.39999999999986</v>
      </c>
      <c r="BZ125" s="14">
        <f>BY125*VLOOKUP('Données projet'!$B$12,Paramètres!$A$1:$I$89,3,0)*VLOOKUP('Données projet'!$B$12,Paramètres!$A$1:$I$89,5,0)</f>
        <v>365.44559999999984</v>
      </c>
      <c r="CA125" s="14">
        <f t="shared" si="93"/>
        <v>84.734883277678023</v>
      </c>
      <c r="CB125" s="22">
        <f t="shared" si="64"/>
        <v>784.06434170862224</v>
      </c>
      <c r="CC125" s="60">
        <f t="shared" si="65"/>
        <v>1077.3976750419556</v>
      </c>
      <c r="CD125" s="60">
        <f ca="1">AVERAGE(OFFSET($CC$3,0,0,'Données projet'!$E$12+1,1))-AVERAGE(OFFSET($H$3,0,0,'Données projet'!$E$12+1,1))</f>
        <v>587.74247372331615</v>
      </c>
      <c r="CE125" s="60">
        <f t="shared" si="94"/>
        <v>306.61893266146666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>
        <f>EXP(-LN(2)/35)*CK124+(1-EXP(-LN(2)/35))/(LN(2)/35)*CG125*CH125*VLOOKUP('Données projet'!$B$12,Paramètres!$A$1:$I$89,3,0)*0.475*44/12</f>
        <v>0</v>
      </c>
      <c r="CL125" s="23">
        <f>EXP(-LN(2)/25)*CL124+(1-EXP(-LN(2)/25))/(LN(2)/25)*Calculateur!CG125*Calculateur!CI125*VLOOKUP('Données projet'!$B$12,Paramètres!$A$1:$I$89,3,0)*0.475*44/12</f>
        <v>0</v>
      </c>
      <c r="CM125" s="23">
        <f>EXP(-LN(2)/2)*CM124+(1-EXP(-LN(2)/2))/(LN(2)/2)*CG125*CJ125*VLOOKUP('Données projet'!$B$12,Paramètres!$A$1:$I$89,3,0)*0.475*44/12</f>
        <v>0</v>
      </c>
      <c r="CN125" s="24">
        <f t="shared" si="66"/>
        <v>0</v>
      </c>
      <c r="CO125" s="77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4.2</v>
      </c>
      <c r="CT125" s="13">
        <f>IF('Données projet'!$A$140&gt;35,CT124+CS125-DB124,IF(A125&lt;'Données projet'!$A$140,$CQ$205^A125,IF(A125='Données projet'!$A$140,'Données projet'!$B$140,CT124+CS125-DB124)))</f>
        <v>360.39999999999986</v>
      </c>
      <c r="CU125" s="18">
        <f>CT125*VLOOKUP('Données projet'!$B$13,Paramètres!$A$1:$I$89,3,0)*VLOOKUP('Données projet'!$B$13,Paramètres!$A$1:$I$89,5,0)</f>
        <v>387.93455999999981</v>
      </c>
      <c r="CV125" s="14">
        <f t="shared" si="95"/>
        <v>89.326239287472234</v>
      </c>
      <c r="CW125" s="22">
        <f t="shared" si="67"/>
        <v>831.2292254256804</v>
      </c>
      <c r="CX125" s="60">
        <f t="shared" si="68"/>
        <v>1124.5625587590137</v>
      </c>
      <c r="CY125" s="60">
        <f ca="1">AVERAGE(OFFSET($CX$3,0,0,'Données projet'!$E$13+1,1))-AVERAGE(OFFSET($H$3,0,0,'Données projet'!$E$13+1,1))</f>
        <v>621.10465023992288</v>
      </c>
      <c r="CZ125" s="60">
        <f t="shared" si="96"/>
        <v>322.81767004794284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>
        <f>EXP(-LN(2)/35)*DF124+(1-EXP(-LN(2)/35))/(LN(2)/35)*DB125*DC125*VLOOKUP('Données projet'!$B$13,Paramètres!$A$1:$I$89,3,0)*0.475*44/12</f>
        <v>0</v>
      </c>
      <c r="DG125" s="23">
        <f>EXP(-LN(2)/25)*DG124+(1-EXP(-LN(2)/25))/(LN(2)/25)*Calculateur!DB125*Calculateur!DD125*VLOOKUP('Données projet'!$B$13,Paramètres!$A$1:$I$89,3,0)*0.475*44/12</f>
        <v>0</v>
      </c>
      <c r="DH125" s="23">
        <f>EXP(-LN(2)/2)*DH124+(1-EXP(-LN(2)/2))/(LN(2)/2)*DB125*DE125*VLOOKUP('Données projet'!$B$13,Paramètres!$A$1:$I$89,3,0)*0.475*44/12</f>
        <v>0</v>
      </c>
      <c r="DI125" s="24">
        <f t="shared" si="69"/>
        <v>0</v>
      </c>
      <c r="DJ125" s="77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4.2</v>
      </c>
      <c r="DO125" s="13">
        <f>IF('Données projet'!$A$166&gt;35,DO124+DN125-DW124,IF(A125&lt;'Données projet'!$A$166,$DL$205^A125,IF(A125='Données projet'!$A$166,'Données projet'!$B$166,DO124+DN125-DW124)))</f>
        <v>360.39999999999986</v>
      </c>
      <c r="DP125" s="18">
        <f>DO125*VLOOKUP('Données projet'!$B$14,Paramètres!$A$1:$I$89,3,0)*VLOOKUP('Données projet'!$B$14,Paramètres!$A$1:$I$89,5,0)</f>
        <v>348.57887999999991</v>
      </c>
      <c r="DQ125" s="14">
        <f t="shared" si="97"/>
        <v>81.269818615882841</v>
      </c>
      <c r="DR125" s="22">
        <f t="shared" si="70"/>
        <v>748.65315008932919</v>
      </c>
      <c r="DS125" s="60">
        <f t="shared" si="71"/>
        <v>1041.9864834226626</v>
      </c>
      <c r="DT125" s="60">
        <f ca="1">AVERAGE(OFFSET($DS$3,0,0,'Données projet'!$E$14+1,1))-AVERAGE(OFFSET($H$3,0,0,'Données projet'!$E$14+1,1))</f>
        <v>562.69380557620775</v>
      </c>
      <c r="DU125" s="60">
        <f t="shared" si="98"/>
        <v>294.45557293177131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>
        <f>EXP(-LN(2)/35)*EA124+(1-EXP(-LN(2)/35))/(LN(2)/35)*DW125*DX125*VLOOKUP('Données projet'!$B$14,Paramètres!$A$1:$I$89,3,0)*0.475*44/12</f>
        <v>0</v>
      </c>
      <c r="EB125" s="23">
        <f>EXP(-LN(2)/25)*EB124+(1-EXP(-LN(2)/25))/(LN(2)/25)*Calculateur!DW125*Calculateur!DY125*VLOOKUP('Données projet'!$B$14,Paramètres!$A$1:$I$89,3,0)*0.475*44/12</f>
        <v>0</v>
      </c>
      <c r="EC125" s="23">
        <f>EXP(-LN(2)/2)*EC124+(1-EXP(-LN(2)/2))/(LN(2)/2)*DW125*DZ125*VLOOKUP('Données projet'!$B$14,Paramètres!$A$1:$I$89,3,0)*0.475*44/12</f>
        <v>0</v>
      </c>
      <c r="ED125" s="24">
        <f t="shared" si="72"/>
        <v>0</v>
      </c>
      <c r="EE125" s="77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1.1368683772161603E-13</v>
      </c>
      <c r="EK125" s="18">
        <f>EJ125*VLOOKUP('Données projet'!$B$15,Paramètres!$A$1:$I$89,3,0)*VLOOKUP('Données projet'!$B$15,Paramètres!$A$1:$I$89,5,0)</f>
        <v>8.8675733422860506E-14</v>
      </c>
      <c r="EL125" s="14">
        <f t="shared" si="99"/>
        <v>1.3509285393066301E-12</v>
      </c>
      <c r="EM125" s="22">
        <f t="shared" si="73"/>
        <v>2.5073107750038623E-12</v>
      </c>
      <c r="EN125" s="60">
        <f t="shared" si="74"/>
        <v>293.33333333333582</v>
      </c>
      <c r="EO125" s="60">
        <f ca="1">AVERAGE(OFFSET($EN$3,0,0,'Données projet'!$E$15+1,1))-AVERAGE(OFFSET($H$3,0,0,'Données projet'!$E$15+1,1))</f>
        <v>292.57482726862594</v>
      </c>
      <c r="EP125" s="60">
        <f t="shared" si="100"/>
        <v>283.48738729114024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>
        <f>EXP(-LN(2)/35)*EV124+(1-EXP(-LN(2)/35))/(LN(2)/35)*ER125*ES125*VLOOKUP('Données projet'!$B$15,Paramètres!$A$1:$I$89,3,0)*0.475*44/12</f>
        <v>0</v>
      </c>
      <c r="EW125" s="23">
        <f>EXP(-LN(2)/25)*EW124+(1-EXP(-LN(2)/25))/(LN(2)/25)*Calculateur!ER125*Calculateur!ET125*VLOOKUP('Données projet'!$B$15,Paramètres!$A$1:$I$89,3,0)*0.475*44/12</f>
        <v>0</v>
      </c>
      <c r="EX125" s="23">
        <f>EXP(-LN(2)/2)*EX124+(1-EXP(-LN(2)/2))/(LN(2)/2)*ER125*EU125*VLOOKUP('Données projet'!$B$15,Paramètres!$A$1:$I$89,3,0)*0.475*44/12</f>
        <v>0</v>
      </c>
      <c r="EY125" s="24">
        <f t="shared" si="75"/>
        <v>0</v>
      </c>
      <c r="EZ125" s="77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0" t="e">
        <f t="shared" si="77"/>
        <v>#N/A</v>
      </c>
      <c r="FJ125" s="60" t="e">
        <f ca="1">AVERAGE(OFFSET($FI$3,0,0,'Données projet'!$E$16+1,1))-AVERAGE(OFFSET($H$3,0,0,'Données projet'!$E$16+1,1))</f>
        <v>#N/A</v>
      </c>
      <c r="FK125" s="60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77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0" t="e">
        <f t="shared" si="80"/>
        <v>#N/A</v>
      </c>
      <c r="GE125" s="60" t="e">
        <f ca="1">AVERAGE(OFFSET($GD$3,0,0,'Données projet'!$E$17+1,1))-AVERAGE(OFFSET($H$3,0,0,'Données projet'!$E$17+1,1))</f>
        <v>#N/A</v>
      </c>
      <c r="GF125" s="60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77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0" t="e">
        <f t="shared" si="83"/>
        <v>#N/A</v>
      </c>
      <c r="GZ125" s="60" t="e">
        <f ca="1">AVERAGE(OFFSET($GY$3,0,0,'Données projet'!$E$18+1,1))-AVERAGE(OFFSET($H$3,0,0,'Données projet'!$E$18+1,1))</f>
        <v>#N/A</v>
      </c>
      <c r="HA125" s="60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25">
      <c r="A126" s="11">
        <f t="shared" si="85"/>
        <v>123</v>
      </c>
      <c r="B126" s="74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2">
        <f t="shared" si="86"/>
        <v>0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0</v>
      </c>
      <c r="H126" s="67">
        <f t="shared" si="56"/>
        <v>256.66666666666669</v>
      </c>
      <c r="I126" s="7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1.1368683772161603E-13</v>
      </c>
      <c r="O126" s="14">
        <f>N126*VLOOKUP('Données projet'!$B$9,Paramètres!$A$1:$I$89,3,0)*VLOOKUP('Données projet'!$B$9,Paramètres!$A$1:$I$89,5,0)</f>
        <v>1.0818439477588981E-13</v>
      </c>
      <c r="P126" s="14">
        <f t="shared" si="87"/>
        <v>1.6104228458716316E-12</v>
      </c>
      <c r="Q126" s="22">
        <f t="shared" si="107"/>
        <v>2.9932409441277661E-12</v>
      </c>
      <c r="R126" s="60">
        <f t="shared" si="55"/>
        <v>293.33333333333633</v>
      </c>
      <c r="S126" s="60">
        <f ca="1">AVERAGE(OFFSET($R$3,0,0,'Données projet'!$E$9+1,1))-AVERAGE(OFFSET($H$3,0,0,'Données projet'!$E$9+1,1))</f>
        <v>403.49781966317852</v>
      </c>
      <c r="T126" s="60">
        <f t="shared" si="88"/>
        <v>326.06674572505409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0</v>
      </c>
      <c r="AA126" s="23">
        <f>EXP(-LN(2)/25)*AA125+(1-EXP(-LN(2)/25))/(LN(2)/25)*Calculateur!V126*Calculateur!X126*VLOOKUP('Données projet'!$B$9,Paramètres!$A$1:$I$89,3,0)*0.475*44/12</f>
        <v>0</v>
      </c>
      <c r="AB126" s="23">
        <f>EXP(-LN(2)/2)*AB125+(1-EXP(-LN(2)/2))/(LN(2)/2)*V126*Y126*VLOOKUP('Données projet'!$B$9,Paramètres!$A$1:$I$89,3,0)*0.475*44/12</f>
        <v>0</v>
      </c>
      <c r="AC126" s="24">
        <f t="shared" si="57"/>
        <v>0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-1.1368683772161603E-13</v>
      </c>
      <c r="AJ126" s="14">
        <f>AI126*VLOOKUP('Données projet'!$B$10,Paramètres!$A$1:$I$89,3,0)*VLOOKUP('Données projet'!$B$10,Paramètres!$A$1:$I$89,5,0)</f>
        <v>-9.9316821433603781E-14</v>
      </c>
      <c r="AK126" s="14" t="e">
        <f t="shared" si="89"/>
        <v>#NUM!</v>
      </c>
      <c r="AL126" s="22" t="e">
        <f t="shared" si="58"/>
        <v>#NUM!</v>
      </c>
      <c r="AM126" s="60" t="e">
        <f t="shared" si="59"/>
        <v>#NUM!</v>
      </c>
      <c r="AN126" s="60">
        <f ca="1">AVERAGE(OFFSET($AM$3,0,0,'Données projet'!$E$10+1,1))-AVERAGE(OFFSET($H$3,0,0,'Données projet'!$E$10+1,1))</f>
        <v>274.66236526869056</v>
      </c>
      <c r="AO126" s="60">
        <f t="shared" si="90"/>
        <v>256.90876395053073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>
        <f>EXP(-LN(2)/35)*AU125+(1-EXP(-LN(2)/35))/(LN(2)/35)*AQ126*AR126*VLOOKUP('Données projet'!$B$10,Paramètres!$A$1:$I$89,3,0)*0.475*44/12</f>
        <v>0</v>
      </c>
      <c r="AV126" s="23">
        <f>EXP(-LN(2)/25)*AV125+(1-EXP(-LN(2)/25))/(LN(2)/25)*Calculateur!AQ126*Calculateur!AS126*VLOOKUP('Données projet'!$B$10,Paramètres!$A$1:$I$89,3,0)*0.475*44/12</f>
        <v>0</v>
      </c>
      <c r="AW126" s="23">
        <f>EXP(-LN(2)/2)*AW125+(1-EXP(-LN(2)/2))/(LN(2)/2)*AQ126*AT126*VLOOKUP('Données projet'!$B$10,Paramètres!$A$1:$I$89,3,0)*0.475*44/12</f>
        <v>0</v>
      </c>
      <c r="AX126" s="23">
        <f t="shared" si="60"/>
        <v>0</v>
      </c>
      <c r="AY126" s="76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4.2</v>
      </c>
      <c r="BD126" s="13">
        <f>IF('Données projet'!$A$88&gt;35,BD125+BC126-BL125,IF(A126&lt;'Données projet'!$A$88,$BA$205^A126,IF(A126='Données projet'!$A$88,'Données projet'!$B$88,BD125+BC126-BL125)))</f>
        <v>364.59999999999985</v>
      </c>
      <c r="BE126" s="14">
        <f>BD126*VLOOKUP('Données projet'!$B$11,Paramètres!$A$1:$I$89,3,0)*VLOOKUP('Données projet'!$B$11,Paramètres!$A$1:$I$89,5,0)</f>
        <v>329.89007999999984</v>
      </c>
      <c r="BF126" s="14">
        <f t="shared" si="91"/>
        <v>77.407517509546452</v>
      </c>
      <c r="BG126" s="22">
        <f t="shared" si="61"/>
        <v>709.37664899579306</v>
      </c>
      <c r="BH126" s="60">
        <f t="shared" si="62"/>
        <v>1002.7099823291264</v>
      </c>
      <c r="BI126" s="60">
        <f ca="1">AVERAGE(OFFSET($BH$3,0,0,'Données projet'!$E$11+1,1))-AVERAGE(OFFSET($H$3,0,0,'Données projet'!$E$11+1,1))</f>
        <v>529.25712986118265</v>
      </c>
      <c r="BJ126" s="60">
        <f t="shared" si="92"/>
        <v>278.21741231699929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>
        <f>EXP(-LN(2)/35)*BP125+(1-EXP(-LN(2)/35))/(LN(2)/35)*BL126*BM126*VLOOKUP('Données projet'!$B$11,Paramètres!$A$1:$I$89,3,0)*0.475*44/12</f>
        <v>0</v>
      </c>
      <c r="BQ126" s="23">
        <f>EXP(-LN(2)/25)*BQ125+(1-EXP(-LN(2)/25))/(LN(2)/25)*Calculateur!BL126*Calculateur!BN126*VLOOKUP('Données projet'!$B$11,Paramètres!$A$1:$I$89,3,0)*0.475*44/12</f>
        <v>0</v>
      </c>
      <c r="BR126" s="23">
        <f>EXP(-LN(2)/2)*BR125+(1-EXP(-LN(2)/2))/(LN(2)/2)*BL126*BO126*VLOOKUP('Données projet'!$B$11,Paramètres!$A$1:$I$89,3,0)*0.475*44/12</f>
        <v>0</v>
      </c>
      <c r="BS126" s="24">
        <f t="shared" si="63"/>
        <v>0</v>
      </c>
      <c r="BT126" s="77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4.2</v>
      </c>
      <c r="BY126" s="13">
        <f>IF('Données projet'!$A$114&gt;35,BY125+BX126-CG125,IF(A126&lt;'Données projet'!$A$114,$BV$205^A126,IF(A126='Données projet'!$A$114,'Données projet'!$B$114,BY125+BX126-CG125)))</f>
        <v>364.59999999999985</v>
      </c>
      <c r="BZ126" s="14">
        <f>BY126*VLOOKUP('Données projet'!$B$12,Paramètres!$A$1:$I$89,3,0)*VLOOKUP('Données projet'!$B$12,Paramètres!$A$1:$I$89,5,0)</f>
        <v>369.70439999999991</v>
      </c>
      <c r="CA126" s="14">
        <f t="shared" si="93"/>
        <v>85.606828219576869</v>
      </c>
      <c r="CB126" s="22">
        <f t="shared" si="64"/>
        <v>793.00038914909612</v>
      </c>
      <c r="CC126" s="60">
        <f t="shared" si="65"/>
        <v>1086.3337224824295</v>
      </c>
      <c r="CD126" s="60">
        <f ca="1">AVERAGE(OFFSET($CC$3,0,0,'Données projet'!$E$12+1,1))-AVERAGE(OFFSET($H$3,0,0,'Données projet'!$E$12+1,1))</f>
        <v>587.74247372331615</v>
      </c>
      <c r="CE126" s="60">
        <f t="shared" si="94"/>
        <v>306.61893266146666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>
        <f>EXP(-LN(2)/35)*CK125+(1-EXP(-LN(2)/35))/(LN(2)/35)*CG126*CH126*VLOOKUP('Données projet'!$B$12,Paramètres!$A$1:$I$89,3,0)*0.475*44/12</f>
        <v>0</v>
      </c>
      <c r="CL126" s="23">
        <f>EXP(-LN(2)/25)*CL125+(1-EXP(-LN(2)/25))/(LN(2)/25)*Calculateur!CG126*Calculateur!CI126*VLOOKUP('Données projet'!$B$12,Paramètres!$A$1:$I$89,3,0)*0.475*44/12</f>
        <v>0</v>
      </c>
      <c r="CM126" s="23">
        <f>EXP(-LN(2)/2)*CM125+(1-EXP(-LN(2)/2))/(LN(2)/2)*CG126*CJ126*VLOOKUP('Données projet'!$B$12,Paramètres!$A$1:$I$89,3,0)*0.475*44/12</f>
        <v>0</v>
      </c>
      <c r="CN126" s="24">
        <f t="shared" si="66"/>
        <v>0</v>
      </c>
      <c r="CO126" s="77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4.2</v>
      </c>
      <c r="CT126" s="13">
        <f>IF('Données projet'!$A$140&gt;35,CT125+CS126-DB125,IF(A126&lt;'Données projet'!$A$140,$CQ$205^A126,IF(A126='Données projet'!$A$140,'Données projet'!$B$140,CT125+CS126-DB125)))</f>
        <v>364.59999999999985</v>
      </c>
      <c r="CU126" s="18">
        <f>CT126*VLOOKUP('Données projet'!$B$13,Paramètres!$A$1:$I$89,3,0)*VLOOKUP('Données projet'!$B$13,Paramètres!$A$1:$I$89,5,0)</f>
        <v>392.45543999999978</v>
      </c>
      <c r="CV126" s="14">
        <f t="shared" si="95"/>
        <v>90.245430528585047</v>
      </c>
      <c r="CW126" s="22">
        <f t="shared" si="67"/>
        <v>840.7040161706185</v>
      </c>
      <c r="CX126" s="60">
        <f t="shared" si="68"/>
        <v>1134.0373495039519</v>
      </c>
      <c r="CY126" s="60">
        <f ca="1">AVERAGE(OFFSET($CX$3,0,0,'Données projet'!$E$13+1,1))-AVERAGE(OFFSET($H$3,0,0,'Données projet'!$E$13+1,1))</f>
        <v>621.10465023992288</v>
      </c>
      <c r="CZ126" s="60">
        <f t="shared" si="96"/>
        <v>322.81767004794284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>
        <f>EXP(-LN(2)/35)*DF125+(1-EXP(-LN(2)/35))/(LN(2)/35)*DB126*DC126*VLOOKUP('Données projet'!$B$13,Paramètres!$A$1:$I$89,3,0)*0.475*44/12</f>
        <v>0</v>
      </c>
      <c r="DG126" s="23">
        <f>EXP(-LN(2)/25)*DG125+(1-EXP(-LN(2)/25))/(LN(2)/25)*Calculateur!DB126*Calculateur!DD126*VLOOKUP('Données projet'!$B$13,Paramètres!$A$1:$I$89,3,0)*0.475*44/12</f>
        <v>0</v>
      </c>
      <c r="DH126" s="23">
        <f>EXP(-LN(2)/2)*DH125+(1-EXP(-LN(2)/2))/(LN(2)/2)*DB126*DE126*VLOOKUP('Données projet'!$B$13,Paramètres!$A$1:$I$89,3,0)*0.475*44/12</f>
        <v>0</v>
      </c>
      <c r="DI126" s="24">
        <f t="shared" si="69"/>
        <v>0</v>
      </c>
      <c r="DJ126" s="77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4.2</v>
      </c>
      <c r="DO126" s="13">
        <f>IF('Données projet'!$A$166&gt;35,DO125+DN126-DW125,IF(A126&lt;'Données projet'!$A$166,$DL$205^A126,IF(A126='Données projet'!$A$166,'Données projet'!$B$166,DO125+DN126-DW125)))</f>
        <v>364.59999999999985</v>
      </c>
      <c r="DP126" s="18">
        <f>DO126*VLOOKUP('Données projet'!$B$14,Paramètres!$A$1:$I$89,3,0)*VLOOKUP('Données projet'!$B$14,Paramètres!$A$1:$I$89,5,0)</f>
        <v>352.64111999999989</v>
      </c>
      <c r="DQ126" s="14">
        <f t="shared" si="97"/>
        <v>82.10610710216001</v>
      </c>
      <c r="DR126" s="22">
        <f t="shared" si="70"/>
        <v>757.18475386959517</v>
      </c>
      <c r="DS126" s="60">
        <f t="shared" si="71"/>
        <v>1050.5180872029284</v>
      </c>
      <c r="DT126" s="60">
        <f ca="1">AVERAGE(OFFSET($DS$3,0,0,'Données projet'!$E$14+1,1))-AVERAGE(OFFSET($H$3,0,0,'Données projet'!$E$14+1,1))</f>
        <v>562.69380557620775</v>
      </c>
      <c r="DU126" s="60">
        <f t="shared" si="98"/>
        <v>294.45557293177131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>
        <f>EXP(-LN(2)/35)*EA125+(1-EXP(-LN(2)/35))/(LN(2)/35)*DW126*DX126*VLOOKUP('Données projet'!$B$14,Paramètres!$A$1:$I$89,3,0)*0.475*44/12</f>
        <v>0</v>
      </c>
      <c r="EB126" s="23">
        <f>EXP(-LN(2)/25)*EB125+(1-EXP(-LN(2)/25))/(LN(2)/25)*Calculateur!DW126*Calculateur!DY126*VLOOKUP('Données projet'!$B$14,Paramètres!$A$1:$I$89,3,0)*0.475*44/12</f>
        <v>0</v>
      </c>
      <c r="EC126" s="23">
        <f>EXP(-LN(2)/2)*EC125+(1-EXP(-LN(2)/2))/(LN(2)/2)*DW126*DZ126*VLOOKUP('Données projet'!$B$14,Paramètres!$A$1:$I$89,3,0)*0.475*44/12</f>
        <v>0</v>
      </c>
      <c r="ED126" s="24">
        <f t="shared" si="72"/>
        <v>0</v>
      </c>
      <c r="EE126" s="77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1.1368683772161603E-13</v>
      </c>
      <c r="EK126" s="18">
        <f>EJ126*VLOOKUP('Données projet'!$B$15,Paramètres!$A$1:$I$89,3,0)*VLOOKUP('Données projet'!$B$15,Paramètres!$A$1:$I$89,5,0)</f>
        <v>8.8675733422860506E-14</v>
      </c>
      <c r="EL126" s="14">
        <f t="shared" si="99"/>
        <v>1.3509285393066301E-12</v>
      </c>
      <c r="EM126" s="22">
        <f t="shared" si="73"/>
        <v>2.5073107750038623E-12</v>
      </c>
      <c r="EN126" s="60">
        <f t="shared" si="74"/>
        <v>293.33333333333582</v>
      </c>
      <c r="EO126" s="60">
        <f ca="1">AVERAGE(OFFSET($EN$3,0,0,'Données projet'!$E$15+1,1))-AVERAGE(OFFSET($H$3,0,0,'Données projet'!$E$15+1,1))</f>
        <v>292.57482726862594</v>
      </c>
      <c r="EP126" s="60">
        <f t="shared" si="100"/>
        <v>283.48738729114024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>
        <f>EXP(-LN(2)/35)*EV125+(1-EXP(-LN(2)/35))/(LN(2)/35)*ER126*ES126*VLOOKUP('Données projet'!$B$15,Paramètres!$A$1:$I$89,3,0)*0.475*44/12</f>
        <v>0</v>
      </c>
      <c r="EW126" s="23">
        <f>EXP(-LN(2)/25)*EW125+(1-EXP(-LN(2)/25))/(LN(2)/25)*Calculateur!ER126*Calculateur!ET126*VLOOKUP('Données projet'!$B$15,Paramètres!$A$1:$I$89,3,0)*0.475*44/12</f>
        <v>0</v>
      </c>
      <c r="EX126" s="23">
        <f>EXP(-LN(2)/2)*EX125+(1-EXP(-LN(2)/2))/(LN(2)/2)*ER126*EU126*VLOOKUP('Données projet'!$B$15,Paramètres!$A$1:$I$89,3,0)*0.475*44/12</f>
        <v>0</v>
      </c>
      <c r="EY126" s="24">
        <f t="shared" si="75"/>
        <v>0</v>
      </c>
      <c r="EZ126" s="77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0" t="e">
        <f t="shared" si="77"/>
        <v>#N/A</v>
      </c>
      <c r="FJ126" s="60" t="e">
        <f ca="1">AVERAGE(OFFSET($FI$3,0,0,'Données projet'!$E$16+1,1))-AVERAGE(OFFSET($H$3,0,0,'Données projet'!$E$16+1,1))</f>
        <v>#N/A</v>
      </c>
      <c r="FK126" s="60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77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0" t="e">
        <f t="shared" si="80"/>
        <v>#N/A</v>
      </c>
      <c r="GE126" s="60" t="e">
        <f ca="1">AVERAGE(OFFSET($GD$3,0,0,'Données projet'!$E$17+1,1))-AVERAGE(OFFSET($H$3,0,0,'Données projet'!$E$17+1,1))</f>
        <v>#N/A</v>
      </c>
      <c r="GF126" s="60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77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0" t="e">
        <f t="shared" si="83"/>
        <v>#N/A</v>
      </c>
      <c r="GZ126" s="60" t="e">
        <f ca="1">AVERAGE(OFFSET($GY$3,0,0,'Données projet'!$E$18+1,1))-AVERAGE(OFFSET($H$3,0,0,'Données projet'!$E$18+1,1))</f>
        <v>#N/A</v>
      </c>
      <c r="HA126" s="60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25">
      <c r="A127" s="11">
        <f t="shared" si="85"/>
        <v>124</v>
      </c>
      <c r="B127" s="74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2">
        <f t="shared" si="86"/>
        <v>0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0</v>
      </c>
      <c r="H127" s="67">
        <f t="shared" si="56"/>
        <v>256.66666666666669</v>
      </c>
      <c r="I127" s="7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1.1368683772161603E-13</v>
      </c>
      <c r="O127" s="14">
        <f>N127*VLOOKUP('Données projet'!$B$9,Paramètres!$A$1:$I$89,3,0)*VLOOKUP('Données projet'!$B$9,Paramètres!$A$1:$I$89,5,0)</f>
        <v>1.0818439477588981E-13</v>
      </c>
      <c r="P127" s="14">
        <f t="shared" si="87"/>
        <v>1.6104228458716316E-12</v>
      </c>
      <c r="Q127" s="22">
        <f t="shared" si="107"/>
        <v>2.9932409441277661E-12</v>
      </c>
      <c r="R127" s="60">
        <f t="shared" si="55"/>
        <v>293.33333333333633</v>
      </c>
      <c r="S127" s="60">
        <f ca="1">AVERAGE(OFFSET($R$3,0,0,'Données projet'!$E$9+1,1))-AVERAGE(OFFSET($H$3,0,0,'Données projet'!$E$9+1,1))</f>
        <v>403.49781966317852</v>
      </c>
      <c r="T127" s="60">
        <f t="shared" si="88"/>
        <v>326.06674572505409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0</v>
      </c>
      <c r="AA127" s="23">
        <f>EXP(-LN(2)/25)*AA126+(1-EXP(-LN(2)/25))/(LN(2)/25)*Calculateur!V127*Calculateur!X127*VLOOKUP('Données projet'!$B$9,Paramètres!$A$1:$I$89,3,0)*0.475*44/12</f>
        <v>0</v>
      </c>
      <c r="AB127" s="23">
        <f>EXP(-LN(2)/2)*AB126+(1-EXP(-LN(2)/2))/(LN(2)/2)*V127*Y127*VLOOKUP('Données projet'!$B$9,Paramètres!$A$1:$I$89,3,0)*0.475*44/12</f>
        <v>0</v>
      </c>
      <c r="AC127" s="24">
        <f t="shared" si="57"/>
        <v>0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-1.1368683772161603E-13</v>
      </c>
      <c r="AJ127" s="14">
        <f>AI127*VLOOKUP('Données projet'!$B$10,Paramètres!$A$1:$I$89,3,0)*VLOOKUP('Données projet'!$B$10,Paramètres!$A$1:$I$89,5,0)</f>
        <v>-9.9316821433603781E-14</v>
      </c>
      <c r="AK127" s="14" t="e">
        <f t="shared" si="89"/>
        <v>#NUM!</v>
      </c>
      <c r="AL127" s="22" t="e">
        <f t="shared" si="58"/>
        <v>#NUM!</v>
      </c>
      <c r="AM127" s="60" t="e">
        <f t="shared" si="59"/>
        <v>#NUM!</v>
      </c>
      <c r="AN127" s="60">
        <f ca="1">AVERAGE(OFFSET($AM$3,0,0,'Données projet'!$E$10+1,1))-AVERAGE(OFFSET($H$3,0,0,'Données projet'!$E$10+1,1))</f>
        <v>274.66236526869056</v>
      </c>
      <c r="AO127" s="60">
        <f t="shared" si="90"/>
        <v>256.90876395053073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>
        <f>EXP(-LN(2)/35)*AU126+(1-EXP(-LN(2)/35))/(LN(2)/35)*AQ127*AR127*VLOOKUP('Données projet'!$B$10,Paramètres!$A$1:$I$89,3,0)*0.475*44/12</f>
        <v>0</v>
      </c>
      <c r="AV127" s="23">
        <f>EXP(-LN(2)/25)*AV126+(1-EXP(-LN(2)/25))/(LN(2)/25)*Calculateur!AQ127*Calculateur!AS127*VLOOKUP('Données projet'!$B$10,Paramètres!$A$1:$I$89,3,0)*0.475*44/12</f>
        <v>0</v>
      </c>
      <c r="AW127" s="23">
        <f>EXP(-LN(2)/2)*AW126+(1-EXP(-LN(2)/2))/(LN(2)/2)*AQ127*AT127*VLOOKUP('Données projet'!$B$10,Paramètres!$A$1:$I$89,3,0)*0.475*44/12</f>
        <v>0</v>
      </c>
      <c r="AX127" s="23">
        <f t="shared" si="60"/>
        <v>0</v>
      </c>
      <c r="AY127" s="76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4.2</v>
      </c>
      <c r="BD127" s="13">
        <f>IF('Données projet'!$A$88&gt;35,BD126+BC127-BL126,IF(A127&lt;'Données projet'!$A$88,$BA$205^A127,IF(A127='Données projet'!$A$88,'Données projet'!$B$88,BD126+BC127-BL126)))</f>
        <v>368.79999999999984</v>
      </c>
      <c r="BE127" s="14">
        <f>BD127*VLOOKUP('Données projet'!$B$11,Paramètres!$A$1:$I$89,3,0)*VLOOKUP('Données projet'!$B$11,Paramètres!$A$1:$I$89,5,0)</f>
        <v>333.69023999999985</v>
      </c>
      <c r="BF127" s="14">
        <f t="shared" si="91"/>
        <v>78.194892201133555</v>
      </c>
      <c r="BG127" s="22">
        <f t="shared" si="61"/>
        <v>717.36660525030732</v>
      </c>
      <c r="BH127" s="60">
        <f t="shared" si="62"/>
        <v>1010.6999385836407</v>
      </c>
      <c r="BI127" s="60">
        <f ca="1">AVERAGE(OFFSET($BH$3,0,0,'Données projet'!$E$11+1,1))-AVERAGE(OFFSET($H$3,0,0,'Données projet'!$E$11+1,1))</f>
        <v>529.25712986118265</v>
      </c>
      <c r="BJ127" s="60">
        <f t="shared" si="92"/>
        <v>278.21741231699929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>
        <f>EXP(-LN(2)/35)*BP126+(1-EXP(-LN(2)/35))/(LN(2)/35)*BL127*BM127*VLOOKUP('Données projet'!$B$11,Paramètres!$A$1:$I$89,3,0)*0.475*44/12</f>
        <v>0</v>
      </c>
      <c r="BQ127" s="23">
        <f>EXP(-LN(2)/25)*BQ126+(1-EXP(-LN(2)/25))/(LN(2)/25)*Calculateur!BL127*Calculateur!BN127*VLOOKUP('Données projet'!$B$11,Paramètres!$A$1:$I$89,3,0)*0.475*44/12</f>
        <v>0</v>
      </c>
      <c r="BR127" s="23">
        <f>EXP(-LN(2)/2)*BR126+(1-EXP(-LN(2)/2))/(LN(2)/2)*BL127*BO127*VLOOKUP('Données projet'!$B$11,Paramètres!$A$1:$I$89,3,0)*0.475*44/12</f>
        <v>0</v>
      </c>
      <c r="BS127" s="24">
        <f t="shared" si="63"/>
        <v>0</v>
      </c>
      <c r="BT127" s="77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4.2</v>
      </c>
      <c r="BY127" s="13">
        <f>IF('Données projet'!$A$114&gt;35,BY126+BX127-CG126,IF(A127&lt;'Données projet'!$A$114,$BV$205^A127,IF(A127='Données projet'!$A$114,'Données projet'!$B$114,BY126+BX127-CG126)))</f>
        <v>368.79999999999984</v>
      </c>
      <c r="BZ127" s="14">
        <f>BY127*VLOOKUP('Données projet'!$B$12,Paramètres!$A$1:$I$89,3,0)*VLOOKUP('Données projet'!$B$12,Paramètres!$A$1:$I$89,5,0)</f>
        <v>373.96319999999986</v>
      </c>
      <c r="CA127" s="14">
        <f t="shared" si="93"/>
        <v>86.477604755703695</v>
      </c>
      <c r="CB127" s="22">
        <f t="shared" si="64"/>
        <v>801.93440161618366</v>
      </c>
      <c r="CC127" s="60">
        <f t="shared" si="65"/>
        <v>1095.267734949517</v>
      </c>
      <c r="CD127" s="60">
        <f ca="1">AVERAGE(OFFSET($CC$3,0,0,'Données projet'!$E$12+1,1))-AVERAGE(OFFSET($H$3,0,0,'Données projet'!$E$12+1,1))</f>
        <v>587.74247372331615</v>
      </c>
      <c r="CE127" s="60">
        <f t="shared" si="94"/>
        <v>306.61893266146666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>
        <f>EXP(-LN(2)/35)*CK126+(1-EXP(-LN(2)/35))/(LN(2)/35)*CG127*CH127*VLOOKUP('Données projet'!$B$12,Paramètres!$A$1:$I$89,3,0)*0.475*44/12</f>
        <v>0</v>
      </c>
      <c r="CL127" s="23">
        <f>EXP(-LN(2)/25)*CL126+(1-EXP(-LN(2)/25))/(LN(2)/25)*Calculateur!CG127*Calculateur!CI127*VLOOKUP('Données projet'!$B$12,Paramètres!$A$1:$I$89,3,0)*0.475*44/12</f>
        <v>0</v>
      </c>
      <c r="CM127" s="23">
        <f>EXP(-LN(2)/2)*CM126+(1-EXP(-LN(2)/2))/(LN(2)/2)*CG127*CJ127*VLOOKUP('Données projet'!$B$12,Paramètres!$A$1:$I$89,3,0)*0.475*44/12</f>
        <v>0</v>
      </c>
      <c r="CN127" s="24">
        <f t="shared" si="66"/>
        <v>0</v>
      </c>
      <c r="CO127" s="77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4.2</v>
      </c>
      <c r="CT127" s="13">
        <f>IF('Données projet'!$A$140&gt;35,CT126+CS127-DB126,IF(A127&lt;'Données projet'!$A$140,$CQ$205^A127,IF(A127='Données projet'!$A$140,'Données projet'!$B$140,CT126+CS127-DB126)))</f>
        <v>368.79999999999984</v>
      </c>
      <c r="CU127" s="18">
        <f>CT127*VLOOKUP('Données projet'!$B$13,Paramètres!$A$1:$I$89,3,0)*VLOOKUP('Données projet'!$B$13,Paramètres!$A$1:$I$89,5,0)</f>
        <v>396.97631999999982</v>
      </c>
      <c r="CV127" s="14">
        <f t="shared" si="95"/>
        <v>91.163390053909268</v>
      </c>
      <c r="CW127" s="22">
        <f t="shared" si="67"/>
        <v>850.17666167722484</v>
      </c>
      <c r="CX127" s="60">
        <f t="shared" si="68"/>
        <v>1143.5099950105582</v>
      </c>
      <c r="CY127" s="60">
        <f ca="1">AVERAGE(OFFSET($CX$3,0,0,'Données projet'!$E$13+1,1))-AVERAGE(OFFSET($H$3,0,0,'Données projet'!$E$13+1,1))</f>
        <v>621.10465023992288</v>
      </c>
      <c r="CZ127" s="60">
        <f t="shared" si="96"/>
        <v>322.81767004794284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>
        <f>EXP(-LN(2)/35)*DF126+(1-EXP(-LN(2)/35))/(LN(2)/35)*DB127*DC127*VLOOKUP('Données projet'!$B$13,Paramètres!$A$1:$I$89,3,0)*0.475*44/12</f>
        <v>0</v>
      </c>
      <c r="DG127" s="23">
        <f>EXP(-LN(2)/25)*DG126+(1-EXP(-LN(2)/25))/(LN(2)/25)*Calculateur!DB127*Calculateur!DD127*VLOOKUP('Données projet'!$B$13,Paramètres!$A$1:$I$89,3,0)*0.475*44/12</f>
        <v>0</v>
      </c>
      <c r="DH127" s="23">
        <f>EXP(-LN(2)/2)*DH126+(1-EXP(-LN(2)/2))/(LN(2)/2)*DB127*DE127*VLOOKUP('Données projet'!$B$13,Paramètres!$A$1:$I$89,3,0)*0.475*44/12</f>
        <v>0</v>
      </c>
      <c r="DI127" s="24">
        <f t="shared" si="69"/>
        <v>0</v>
      </c>
      <c r="DJ127" s="77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4.2</v>
      </c>
      <c r="DO127" s="13">
        <f>IF('Données projet'!$A$166&gt;35,DO126+DN127-DW126,IF(A127&lt;'Données projet'!$A$166,$DL$205^A127,IF(A127='Données projet'!$A$166,'Données projet'!$B$166,DO126+DN127-DW126)))</f>
        <v>368.79999999999984</v>
      </c>
      <c r="DP127" s="18">
        <f>DO127*VLOOKUP('Données projet'!$B$14,Paramètres!$A$1:$I$89,3,0)*VLOOKUP('Données projet'!$B$14,Paramètres!$A$1:$I$89,5,0)</f>
        <v>356.70335999999986</v>
      </c>
      <c r="DQ127" s="14">
        <f t="shared" si="97"/>
        <v>82.941274962297129</v>
      </c>
      <c r="DR127" s="22">
        <f t="shared" si="70"/>
        <v>765.71440589266729</v>
      </c>
      <c r="DS127" s="60">
        <f t="shared" si="71"/>
        <v>1059.0477392260007</v>
      </c>
      <c r="DT127" s="60">
        <f ca="1">AVERAGE(OFFSET($DS$3,0,0,'Données projet'!$E$14+1,1))-AVERAGE(OFFSET($H$3,0,0,'Données projet'!$E$14+1,1))</f>
        <v>562.69380557620775</v>
      </c>
      <c r="DU127" s="60">
        <f t="shared" si="98"/>
        <v>294.45557293177131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>
        <f>EXP(-LN(2)/35)*EA126+(1-EXP(-LN(2)/35))/(LN(2)/35)*DW127*DX127*VLOOKUP('Données projet'!$B$14,Paramètres!$A$1:$I$89,3,0)*0.475*44/12</f>
        <v>0</v>
      </c>
      <c r="EB127" s="23">
        <f>EXP(-LN(2)/25)*EB126+(1-EXP(-LN(2)/25))/(LN(2)/25)*Calculateur!DW127*Calculateur!DY127*VLOOKUP('Données projet'!$B$14,Paramètres!$A$1:$I$89,3,0)*0.475*44/12</f>
        <v>0</v>
      </c>
      <c r="EC127" s="23">
        <f>EXP(-LN(2)/2)*EC126+(1-EXP(-LN(2)/2))/(LN(2)/2)*DW127*DZ127*VLOOKUP('Données projet'!$B$14,Paramètres!$A$1:$I$89,3,0)*0.475*44/12</f>
        <v>0</v>
      </c>
      <c r="ED127" s="24">
        <f t="shared" si="72"/>
        <v>0</v>
      </c>
      <c r="EE127" s="77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1.1368683772161603E-13</v>
      </c>
      <c r="EK127" s="18">
        <f>EJ127*VLOOKUP('Données projet'!$B$15,Paramètres!$A$1:$I$89,3,0)*VLOOKUP('Données projet'!$B$15,Paramètres!$A$1:$I$89,5,0)</f>
        <v>8.8675733422860506E-14</v>
      </c>
      <c r="EL127" s="14">
        <f t="shared" si="99"/>
        <v>1.3509285393066301E-12</v>
      </c>
      <c r="EM127" s="22">
        <f t="shared" si="73"/>
        <v>2.5073107750038623E-12</v>
      </c>
      <c r="EN127" s="60">
        <f t="shared" si="74"/>
        <v>293.33333333333582</v>
      </c>
      <c r="EO127" s="60">
        <f ca="1">AVERAGE(OFFSET($EN$3,0,0,'Données projet'!$E$15+1,1))-AVERAGE(OFFSET($H$3,0,0,'Données projet'!$E$15+1,1))</f>
        <v>292.57482726862594</v>
      </c>
      <c r="EP127" s="60">
        <f t="shared" si="100"/>
        <v>283.48738729114024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>
        <f>EXP(-LN(2)/35)*EV126+(1-EXP(-LN(2)/35))/(LN(2)/35)*ER127*ES127*VLOOKUP('Données projet'!$B$15,Paramètres!$A$1:$I$89,3,0)*0.475*44/12</f>
        <v>0</v>
      </c>
      <c r="EW127" s="23">
        <f>EXP(-LN(2)/25)*EW126+(1-EXP(-LN(2)/25))/(LN(2)/25)*Calculateur!ER127*Calculateur!ET127*VLOOKUP('Données projet'!$B$15,Paramètres!$A$1:$I$89,3,0)*0.475*44/12</f>
        <v>0</v>
      </c>
      <c r="EX127" s="23">
        <f>EXP(-LN(2)/2)*EX126+(1-EXP(-LN(2)/2))/(LN(2)/2)*ER127*EU127*VLOOKUP('Données projet'!$B$15,Paramètres!$A$1:$I$89,3,0)*0.475*44/12</f>
        <v>0</v>
      </c>
      <c r="EY127" s="24">
        <f t="shared" si="75"/>
        <v>0</v>
      </c>
      <c r="EZ127" s="77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0" t="e">
        <f t="shared" si="77"/>
        <v>#N/A</v>
      </c>
      <c r="FJ127" s="60" t="e">
        <f ca="1">AVERAGE(OFFSET($FI$3,0,0,'Données projet'!$E$16+1,1))-AVERAGE(OFFSET($H$3,0,0,'Données projet'!$E$16+1,1))</f>
        <v>#N/A</v>
      </c>
      <c r="FK127" s="60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77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0" t="e">
        <f t="shared" si="80"/>
        <v>#N/A</v>
      </c>
      <c r="GE127" s="60" t="e">
        <f ca="1">AVERAGE(OFFSET($GD$3,0,0,'Données projet'!$E$17+1,1))-AVERAGE(OFFSET($H$3,0,0,'Données projet'!$E$17+1,1))</f>
        <v>#N/A</v>
      </c>
      <c r="GF127" s="60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77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0" t="e">
        <f t="shared" si="83"/>
        <v>#N/A</v>
      </c>
      <c r="GZ127" s="60" t="e">
        <f ca="1">AVERAGE(OFFSET($GY$3,0,0,'Données projet'!$E$18+1,1))-AVERAGE(OFFSET($H$3,0,0,'Données projet'!$E$18+1,1))</f>
        <v>#N/A</v>
      </c>
      <c r="HA127" s="60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25">
      <c r="A128" s="11">
        <f t="shared" si="85"/>
        <v>125</v>
      </c>
      <c r="B128" s="74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2">
        <f t="shared" si="86"/>
        <v>0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0</v>
      </c>
      <c r="H128" s="67">
        <f t="shared" si="56"/>
        <v>256.66666666666669</v>
      </c>
      <c r="I128" s="7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1.1368683772161603E-13</v>
      </c>
      <c r="O128" s="14">
        <f>N128*VLOOKUP('Données projet'!$B$9,Paramètres!$A$1:$I$89,3,0)*VLOOKUP('Données projet'!$B$9,Paramètres!$A$1:$I$89,5,0)</f>
        <v>1.0818439477588981E-13</v>
      </c>
      <c r="P128" s="14">
        <f t="shared" si="87"/>
        <v>1.6104228458716316E-12</v>
      </c>
      <c r="Q128" s="22">
        <f t="shared" si="107"/>
        <v>2.9932409441277661E-12</v>
      </c>
      <c r="R128" s="60">
        <f t="shared" si="55"/>
        <v>293.33333333333633</v>
      </c>
      <c r="S128" s="60">
        <f ca="1">AVERAGE(OFFSET($R$3,0,0,'Données projet'!$E$9+1,1))-AVERAGE(OFFSET($H$3,0,0,'Données projet'!$E$9+1,1))</f>
        <v>403.49781966317852</v>
      </c>
      <c r="T128" s="60">
        <f t="shared" si="88"/>
        <v>326.06674572505409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0</v>
      </c>
      <c r="AA128" s="23">
        <f>EXP(-LN(2)/25)*AA127+(1-EXP(-LN(2)/25))/(LN(2)/25)*Calculateur!V128*Calculateur!X128*VLOOKUP('Données projet'!$B$9,Paramètres!$A$1:$I$89,3,0)*0.475*44/12</f>
        <v>0</v>
      </c>
      <c r="AB128" s="23">
        <f>EXP(-LN(2)/2)*AB127+(1-EXP(-LN(2)/2))/(LN(2)/2)*V128*Y128*VLOOKUP('Données projet'!$B$9,Paramètres!$A$1:$I$89,3,0)*0.475*44/12</f>
        <v>0</v>
      </c>
      <c r="AC128" s="24">
        <f t="shared" si="57"/>
        <v>0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-1.1368683772161603E-13</v>
      </c>
      <c r="AJ128" s="14">
        <f>AI128*VLOOKUP('Données projet'!$B$10,Paramètres!$A$1:$I$89,3,0)*VLOOKUP('Données projet'!$B$10,Paramètres!$A$1:$I$89,5,0)</f>
        <v>-9.9316821433603781E-14</v>
      </c>
      <c r="AK128" s="14" t="e">
        <f t="shared" si="89"/>
        <v>#NUM!</v>
      </c>
      <c r="AL128" s="22" t="e">
        <f t="shared" si="58"/>
        <v>#NUM!</v>
      </c>
      <c r="AM128" s="60" t="e">
        <f t="shared" si="59"/>
        <v>#NUM!</v>
      </c>
      <c r="AN128" s="60">
        <f ca="1">AVERAGE(OFFSET($AM$3,0,0,'Données projet'!$E$10+1,1))-AVERAGE(OFFSET($H$3,0,0,'Données projet'!$E$10+1,1))</f>
        <v>274.66236526869056</v>
      </c>
      <c r="AO128" s="60">
        <f t="shared" si="90"/>
        <v>256.90876395053073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>
        <f>EXP(-LN(2)/35)*AU127+(1-EXP(-LN(2)/35))/(LN(2)/35)*AQ128*AR128*VLOOKUP('Données projet'!$B$10,Paramètres!$A$1:$I$89,3,0)*0.475*44/12</f>
        <v>0</v>
      </c>
      <c r="AV128" s="23">
        <f>EXP(-LN(2)/25)*AV127+(1-EXP(-LN(2)/25))/(LN(2)/25)*Calculateur!AQ128*Calculateur!AS128*VLOOKUP('Données projet'!$B$10,Paramètres!$A$1:$I$89,3,0)*0.475*44/12</f>
        <v>0</v>
      </c>
      <c r="AW128" s="23">
        <f>EXP(-LN(2)/2)*AW127+(1-EXP(-LN(2)/2))/(LN(2)/2)*AQ128*AT128*VLOOKUP('Données projet'!$B$10,Paramètres!$A$1:$I$89,3,0)*0.475*44/12</f>
        <v>0</v>
      </c>
      <c r="AX128" s="23">
        <f t="shared" si="60"/>
        <v>0</v>
      </c>
      <c r="AY128" s="76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4.2</v>
      </c>
      <c r="BD128" s="13">
        <f>IF('Données projet'!$A$88&gt;35,BD127+BC128-BL127,IF(A128&lt;'Données projet'!$A$88,$BA$205^A128,IF(A128='Données projet'!$A$88,'Données projet'!$B$88,BD127+BC128-BL127)))</f>
        <v>372.99999999999983</v>
      </c>
      <c r="BE128" s="14">
        <f>BD128*VLOOKUP('Données projet'!$B$11,Paramètres!$A$1:$I$89,3,0)*VLOOKUP('Données projet'!$B$11,Paramètres!$A$1:$I$89,5,0)</f>
        <v>337.49039999999985</v>
      </c>
      <c r="BF128" s="14">
        <f t="shared" si="91"/>
        <v>78.981223819202711</v>
      </c>
      <c r="BG128" s="22">
        <f t="shared" si="61"/>
        <v>725.35474481844449</v>
      </c>
      <c r="BH128" s="60">
        <f t="shared" si="62"/>
        <v>1018.6880781517777</v>
      </c>
      <c r="BI128" s="60">
        <f ca="1">AVERAGE(OFFSET($BH$3,0,0,'Données projet'!$E$11+1,1))-AVERAGE(OFFSET($H$3,0,0,'Données projet'!$E$11+1,1))</f>
        <v>529.25712986118265</v>
      </c>
      <c r="BJ128" s="60">
        <f t="shared" si="92"/>
        <v>278.21741231699929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>
        <f>EXP(-LN(2)/35)*BP127+(1-EXP(-LN(2)/35))/(LN(2)/35)*BL128*BM128*VLOOKUP('Données projet'!$B$11,Paramètres!$A$1:$I$89,3,0)*0.475*44/12</f>
        <v>0</v>
      </c>
      <c r="BQ128" s="23">
        <f>EXP(-LN(2)/25)*BQ127+(1-EXP(-LN(2)/25))/(LN(2)/25)*Calculateur!BL128*Calculateur!BN128*VLOOKUP('Données projet'!$B$11,Paramètres!$A$1:$I$89,3,0)*0.475*44/12</f>
        <v>0</v>
      </c>
      <c r="BR128" s="23">
        <f>EXP(-LN(2)/2)*BR127+(1-EXP(-LN(2)/2))/(LN(2)/2)*BL128*BO128*VLOOKUP('Données projet'!$B$11,Paramètres!$A$1:$I$89,3,0)*0.475*44/12</f>
        <v>0</v>
      </c>
      <c r="BS128" s="24">
        <f t="shared" si="63"/>
        <v>0</v>
      </c>
      <c r="BT128" s="77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4.2</v>
      </c>
      <c r="BY128" s="13">
        <f>IF('Données projet'!$A$114&gt;35,BY127+BX128-CG127,IF(A128&lt;'Données projet'!$A$114,$BV$205^A128,IF(A128='Données projet'!$A$114,'Données projet'!$B$114,BY127+BX128-CG127)))</f>
        <v>372.99999999999983</v>
      </c>
      <c r="BZ128" s="14">
        <f>BY128*VLOOKUP('Données projet'!$B$12,Paramètres!$A$1:$I$89,3,0)*VLOOKUP('Données projet'!$B$12,Paramètres!$A$1:$I$89,5,0)</f>
        <v>378.22199999999987</v>
      </c>
      <c r="CA128" s="14">
        <f t="shared" si="93"/>
        <v>87.347227731836043</v>
      </c>
      <c r="CB128" s="22">
        <f t="shared" si="64"/>
        <v>810.86640496628081</v>
      </c>
      <c r="CC128" s="60">
        <f t="shared" si="65"/>
        <v>1104.1997382996142</v>
      </c>
      <c r="CD128" s="60">
        <f ca="1">AVERAGE(OFFSET($CC$3,0,0,'Données projet'!$E$12+1,1))-AVERAGE(OFFSET($H$3,0,0,'Données projet'!$E$12+1,1))</f>
        <v>587.74247372331615</v>
      </c>
      <c r="CE128" s="60">
        <f t="shared" si="94"/>
        <v>306.61893266146666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>
        <f>EXP(-LN(2)/35)*CK127+(1-EXP(-LN(2)/35))/(LN(2)/35)*CG128*CH128*VLOOKUP('Données projet'!$B$12,Paramètres!$A$1:$I$89,3,0)*0.475*44/12</f>
        <v>0</v>
      </c>
      <c r="CL128" s="23">
        <f>EXP(-LN(2)/25)*CL127+(1-EXP(-LN(2)/25))/(LN(2)/25)*Calculateur!CG128*Calculateur!CI128*VLOOKUP('Données projet'!$B$12,Paramètres!$A$1:$I$89,3,0)*0.475*44/12</f>
        <v>0</v>
      </c>
      <c r="CM128" s="23">
        <f>EXP(-LN(2)/2)*CM127+(1-EXP(-LN(2)/2))/(LN(2)/2)*CG128*CJ128*VLOOKUP('Données projet'!$B$12,Paramètres!$A$1:$I$89,3,0)*0.475*44/12</f>
        <v>0</v>
      </c>
      <c r="CN128" s="24">
        <f t="shared" si="66"/>
        <v>0</v>
      </c>
      <c r="CO128" s="77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4.2</v>
      </c>
      <c r="CT128" s="13">
        <f>IF('Données projet'!$A$140&gt;35,CT127+CS128-DB127,IF(A128&lt;'Données projet'!$A$140,$CQ$205^A128,IF(A128='Données projet'!$A$140,'Données projet'!$B$140,CT127+CS128-DB127)))</f>
        <v>372.99999999999983</v>
      </c>
      <c r="CU128" s="18">
        <f>CT128*VLOOKUP('Données projet'!$B$13,Paramètres!$A$1:$I$89,3,0)*VLOOKUP('Données projet'!$B$13,Paramètres!$A$1:$I$89,5,0)</f>
        <v>401.49719999999985</v>
      </c>
      <c r="CV128" s="14">
        <f t="shared" si="95"/>
        <v>92.080133513640348</v>
      </c>
      <c r="CW128" s="22">
        <f t="shared" si="67"/>
        <v>859.64718920292319</v>
      </c>
      <c r="CX128" s="60">
        <f t="shared" si="68"/>
        <v>1152.9805225362566</v>
      </c>
      <c r="CY128" s="60">
        <f ca="1">AVERAGE(OFFSET($CX$3,0,0,'Données projet'!$E$13+1,1))-AVERAGE(OFFSET($H$3,0,0,'Données projet'!$E$13+1,1))</f>
        <v>621.10465023992288</v>
      </c>
      <c r="CZ128" s="60">
        <f t="shared" si="96"/>
        <v>322.81767004794284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>
        <f>EXP(-LN(2)/35)*DF127+(1-EXP(-LN(2)/35))/(LN(2)/35)*DB128*DC128*VLOOKUP('Données projet'!$B$13,Paramètres!$A$1:$I$89,3,0)*0.475*44/12</f>
        <v>0</v>
      </c>
      <c r="DG128" s="23">
        <f>EXP(-LN(2)/25)*DG127+(1-EXP(-LN(2)/25))/(LN(2)/25)*Calculateur!DB128*Calculateur!DD128*VLOOKUP('Données projet'!$B$13,Paramètres!$A$1:$I$89,3,0)*0.475*44/12</f>
        <v>0</v>
      </c>
      <c r="DH128" s="23">
        <f>EXP(-LN(2)/2)*DH127+(1-EXP(-LN(2)/2))/(LN(2)/2)*DB128*DE128*VLOOKUP('Données projet'!$B$13,Paramètres!$A$1:$I$89,3,0)*0.475*44/12</f>
        <v>0</v>
      </c>
      <c r="DI128" s="24">
        <f t="shared" si="69"/>
        <v>0</v>
      </c>
      <c r="DJ128" s="77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4.2</v>
      </c>
      <c r="DO128" s="13">
        <f>IF('Données projet'!$A$166&gt;35,DO127+DN128-DW127,IF(A128&lt;'Données projet'!$A$166,$DL$205^A128,IF(A128='Données projet'!$A$166,'Données projet'!$B$166,DO127+DN128-DW127)))</f>
        <v>372.99999999999983</v>
      </c>
      <c r="DP128" s="18">
        <f>DO128*VLOOKUP('Données projet'!$B$14,Paramètres!$A$1:$I$89,3,0)*VLOOKUP('Données projet'!$B$14,Paramètres!$A$1:$I$89,5,0)</f>
        <v>360.76559999999989</v>
      </c>
      <c r="DQ128" s="14">
        <f t="shared" si="97"/>
        <v>83.775336434983416</v>
      </c>
      <c r="DR128" s="22">
        <f t="shared" si="70"/>
        <v>774.24213095759603</v>
      </c>
      <c r="DS128" s="60">
        <f t="shared" si="71"/>
        <v>1067.5754642909294</v>
      </c>
      <c r="DT128" s="60">
        <f ca="1">AVERAGE(OFFSET($DS$3,0,0,'Données projet'!$E$14+1,1))-AVERAGE(OFFSET($H$3,0,0,'Données projet'!$E$14+1,1))</f>
        <v>562.69380557620775</v>
      </c>
      <c r="DU128" s="60">
        <f t="shared" si="98"/>
        <v>294.45557293177131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>
        <f>EXP(-LN(2)/35)*EA127+(1-EXP(-LN(2)/35))/(LN(2)/35)*DW128*DX128*VLOOKUP('Données projet'!$B$14,Paramètres!$A$1:$I$89,3,0)*0.475*44/12</f>
        <v>0</v>
      </c>
      <c r="EB128" s="23">
        <f>EXP(-LN(2)/25)*EB127+(1-EXP(-LN(2)/25))/(LN(2)/25)*Calculateur!DW128*Calculateur!DY128*VLOOKUP('Données projet'!$B$14,Paramètres!$A$1:$I$89,3,0)*0.475*44/12</f>
        <v>0</v>
      </c>
      <c r="EC128" s="23">
        <f>EXP(-LN(2)/2)*EC127+(1-EXP(-LN(2)/2))/(LN(2)/2)*DW128*DZ128*VLOOKUP('Données projet'!$B$14,Paramètres!$A$1:$I$89,3,0)*0.475*44/12</f>
        <v>0</v>
      </c>
      <c r="ED128" s="24">
        <f t="shared" si="72"/>
        <v>0</v>
      </c>
      <c r="EE128" s="77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1.1368683772161603E-13</v>
      </c>
      <c r="EK128" s="18">
        <f>EJ128*VLOOKUP('Données projet'!$B$15,Paramètres!$A$1:$I$89,3,0)*VLOOKUP('Données projet'!$B$15,Paramètres!$A$1:$I$89,5,0)</f>
        <v>8.8675733422860506E-14</v>
      </c>
      <c r="EL128" s="14">
        <f t="shared" si="99"/>
        <v>1.3509285393066301E-12</v>
      </c>
      <c r="EM128" s="22">
        <f t="shared" si="73"/>
        <v>2.5073107750038623E-12</v>
      </c>
      <c r="EN128" s="60">
        <f t="shared" si="74"/>
        <v>293.33333333333582</v>
      </c>
      <c r="EO128" s="60">
        <f ca="1">AVERAGE(OFFSET($EN$3,0,0,'Données projet'!$E$15+1,1))-AVERAGE(OFFSET($H$3,0,0,'Données projet'!$E$15+1,1))</f>
        <v>292.57482726862594</v>
      </c>
      <c r="EP128" s="60">
        <f t="shared" si="100"/>
        <v>283.48738729114024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>
        <f>EXP(-LN(2)/35)*EV127+(1-EXP(-LN(2)/35))/(LN(2)/35)*ER128*ES128*VLOOKUP('Données projet'!$B$15,Paramètres!$A$1:$I$89,3,0)*0.475*44/12</f>
        <v>0</v>
      </c>
      <c r="EW128" s="23">
        <f>EXP(-LN(2)/25)*EW127+(1-EXP(-LN(2)/25))/(LN(2)/25)*Calculateur!ER128*Calculateur!ET128*VLOOKUP('Données projet'!$B$15,Paramètres!$A$1:$I$89,3,0)*0.475*44/12</f>
        <v>0</v>
      </c>
      <c r="EX128" s="23">
        <f>EXP(-LN(2)/2)*EX127+(1-EXP(-LN(2)/2))/(LN(2)/2)*ER128*EU128*VLOOKUP('Données projet'!$B$15,Paramètres!$A$1:$I$89,3,0)*0.475*44/12</f>
        <v>0</v>
      </c>
      <c r="EY128" s="24">
        <f t="shared" si="75"/>
        <v>0</v>
      </c>
      <c r="EZ128" s="77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0" t="e">
        <f t="shared" si="77"/>
        <v>#N/A</v>
      </c>
      <c r="FJ128" s="60" t="e">
        <f ca="1">AVERAGE(OFFSET($FI$3,0,0,'Données projet'!$E$16+1,1))-AVERAGE(OFFSET($H$3,0,0,'Données projet'!$E$16+1,1))</f>
        <v>#N/A</v>
      </c>
      <c r="FK128" s="60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77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0" t="e">
        <f t="shared" si="80"/>
        <v>#N/A</v>
      </c>
      <c r="GE128" s="60" t="e">
        <f ca="1">AVERAGE(OFFSET($GD$3,0,0,'Données projet'!$E$17+1,1))-AVERAGE(OFFSET($H$3,0,0,'Données projet'!$E$17+1,1))</f>
        <v>#N/A</v>
      </c>
      <c r="GF128" s="60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77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0" t="e">
        <f t="shared" si="83"/>
        <v>#N/A</v>
      </c>
      <c r="GZ128" s="60" t="e">
        <f ca="1">AVERAGE(OFFSET($GY$3,0,0,'Données projet'!$E$18+1,1))-AVERAGE(OFFSET($H$3,0,0,'Données projet'!$E$18+1,1))</f>
        <v>#N/A</v>
      </c>
      <c r="HA128" s="60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25">
      <c r="A129" s="11">
        <f t="shared" si="85"/>
        <v>126</v>
      </c>
      <c r="B129" s="74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2">
        <f t="shared" si="86"/>
        <v>0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0</v>
      </c>
      <c r="H129" s="67">
        <f t="shared" si="56"/>
        <v>256.66666666666669</v>
      </c>
      <c r="I129" s="7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1.1368683772161603E-13</v>
      </c>
      <c r="O129" s="14">
        <f>N129*VLOOKUP('Données projet'!$B$9,Paramètres!$A$1:$I$89,3,0)*VLOOKUP('Données projet'!$B$9,Paramètres!$A$1:$I$89,5,0)</f>
        <v>1.0818439477588981E-13</v>
      </c>
      <c r="P129" s="14">
        <f t="shared" si="87"/>
        <v>1.6104228458716316E-12</v>
      </c>
      <c r="Q129" s="22">
        <f t="shared" si="107"/>
        <v>2.9932409441277661E-12</v>
      </c>
      <c r="R129" s="60">
        <f t="shared" si="55"/>
        <v>293.33333333333633</v>
      </c>
      <c r="S129" s="60">
        <f ca="1">AVERAGE(OFFSET($R$3,0,0,'Données projet'!$E$9+1,1))-AVERAGE(OFFSET($H$3,0,0,'Données projet'!$E$9+1,1))</f>
        <v>403.49781966317852</v>
      </c>
      <c r="T129" s="60">
        <f t="shared" si="88"/>
        <v>326.06674572505409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0</v>
      </c>
      <c r="AA129" s="23">
        <f>EXP(-LN(2)/25)*AA128+(1-EXP(-LN(2)/25))/(LN(2)/25)*Calculateur!V129*Calculateur!X129*VLOOKUP('Données projet'!$B$9,Paramètres!$A$1:$I$89,3,0)*0.475*44/12</f>
        <v>0</v>
      </c>
      <c r="AB129" s="23">
        <f>EXP(-LN(2)/2)*AB128+(1-EXP(-LN(2)/2))/(LN(2)/2)*V129*Y129*VLOOKUP('Données projet'!$B$9,Paramètres!$A$1:$I$89,3,0)*0.475*44/12</f>
        <v>0</v>
      </c>
      <c r="AC129" s="24">
        <f t="shared" si="57"/>
        <v>0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-1.1368683772161603E-13</v>
      </c>
      <c r="AJ129" s="14">
        <f>AI129*VLOOKUP('Données projet'!$B$10,Paramètres!$A$1:$I$89,3,0)*VLOOKUP('Données projet'!$B$10,Paramètres!$A$1:$I$89,5,0)</f>
        <v>-9.9316821433603781E-14</v>
      </c>
      <c r="AK129" s="14" t="e">
        <f t="shared" si="89"/>
        <v>#NUM!</v>
      </c>
      <c r="AL129" s="22" t="e">
        <f t="shared" si="58"/>
        <v>#NUM!</v>
      </c>
      <c r="AM129" s="60" t="e">
        <f t="shared" si="59"/>
        <v>#NUM!</v>
      </c>
      <c r="AN129" s="60">
        <f ca="1">AVERAGE(OFFSET($AM$3,0,0,'Données projet'!$E$10+1,1))-AVERAGE(OFFSET($H$3,0,0,'Données projet'!$E$10+1,1))</f>
        <v>274.66236526869056</v>
      </c>
      <c r="AO129" s="60">
        <f t="shared" si="90"/>
        <v>256.90876395053073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>
        <f>EXP(-LN(2)/35)*AU128+(1-EXP(-LN(2)/35))/(LN(2)/35)*AQ129*AR129*VLOOKUP('Données projet'!$B$10,Paramètres!$A$1:$I$89,3,0)*0.475*44/12</f>
        <v>0</v>
      </c>
      <c r="AV129" s="23">
        <f>EXP(-LN(2)/25)*AV128+(1-EXP(-LN(2)/25))/(LN(2)/25)*Calculateur!AQ129*Calculateur!AS129*VLOOKUP('Données projet'!$B$10,Paramètres!$A$1:$I$89,3,0)*0.475*44/12</f>
        <v>0</v>
      </c>
      <c r="AW129" s="23">
        <f>EXP(-LN(2)/2)*AW128+(1-EXP(-LN(2)/2))/(LN(2)/2)*AQ129*AT129*VLOOKUP('Données projet'!$B$10,Paramètres!$A$1:$I$89,3,0)*0.475*44/12</f>
        <v>0</v>
      </c>
      <c r="AX129" s="23">
        <f t="shared" si="60"/>
        <v>0</v>
      </c>
      <c r="AY129" s="76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4.2</v>
      </c>
      <c r="BD129" s="13">
        <f>IF('Données projet'!$A$88&gt;35,BD128+BC129-BL128,IF(A129&lt;'Données projet'!$A$88,$BA$205^A129,IF(A129='Données projet'!$A$88,'Données projet'!$B$88,BD128+BC129-BL128)))</f>
        <v>377.19999999999982</v>
      </c>
      <c r="BE129" s="14">
        <f>BD129*VLOOKUP('Données projet'!$B$11,Paramètres!$A$1:$I$89,3,0)*VLOOKUP('Données projet'!$B$11,Paramètres!$A$1:$I$89,5,0)</f>
        <v>341.2905599999998</v>
      </c>
      <c r="BF129" s="14">
        <f t="shared" si="91"/>
        <v>79.766525467910597</v>
      </c>
      <c r="BG129" s="22">
        <f t="shared" si="61"/>
        <v>733.34109052327722</v>
      </c>
      <c r="BH129" s="60">
        <f t="shared" si="62"/>
        <v>1026.6744238566105</v>
      </c>
      <c r="BI129" s="60">
        <f ca="1">AVERAGE(OFFSET($BH$3,0,0,'Données projet'!$E$11+1,1))-AVERAGE(OFFSET($H$3,0,0,'Données projet'!$E$11+1,1))</f>
        <v>529.25712986118265</v>
      </c>
      <c r="BJ129" s="60">
        <f t="shared" si="92"/>
        <v>278.21741231699929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>
        <f>EXP(-LN(2)/35)*BP128+(1-EXP(-LN(2)/35))/(LN(2)/35)*BL129*BM129*VLOOKUP('Données projet'!$B$11,Paramètres!$A$1:$I$89,3,0)*0.475*44/12</f>
        <v>0</v>
      </c>
      <c r="BQ129" s="23">
        <f>EXP(-LN(2)/25)*BQ128+(1-EXP(-LN(2)/25))/(LN(2)/25)*Calculateur!BL129*Calculateur!BN129*VLOOKUP('Données projet'!$B$11,Paramètres!$A$1:$I$89,3,0)*0.475*44/12</f>
        <v>0</v>
      </c>
      <c r="BR129" s="23">
        <f>EXP(-LN(2)/2)*BR128+(1-EXP(-LN(2)/2))/(LN(2)/2)*BL129*BO129*VLOOKUP('Données projet'!$B$11,Paramètres!$A$1:$I$89,3,0)*0.475*44/12</f>
        <v>0</v>
      </c>
      <c r="BS129" s="24">
        <f t="shared" si="63"/>
        <v>0</v>
      </c>
      <c r="BT129" s="77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4.2</v>
      </c>
      <c r="BY129" s="13">
        <f>IF('Données projet'!$A$114&gt;35,BY128+BX129-CG128,IF(A129&lt;'Données projet'!$A$114,$BV$205^A129,IF(A129='Données projet'!$A$114,'Données projet'!$B$114,BY128+BX129-CG128)))</f>
        <v>377.19999999999982</v>
      </c>
      <c r="BZ129" s="14">
        <f>BY129*VLOOKUP('Données projet'!$B$12,Paramètres!$A$1:$I$89,3,0)*VLOOKUP('Données projet'!$B$12,Paramètres!$A$1:$I$89,5,0)</f>
        <v>382.48079999999987</v>
      </c>
      <c r="CA129" s="14">
        <f t="shared" si="93"/>
        <v>88.215711640174817</v>
      </c>
      <c r="CB129" s="22">
        <f t="shared" si="64"/>
        <v>819.79642443997091</v>
      </c>
      <c r="CC129" s="60">
        <f t="shared" si="65"/>
        <v>1113.1297577733042</v>
      </c>
      <c r="CD129" s="60">
        <f ca="1">AVERAGE(OFFSET($CC$3,0,0,'Données projet'!$E$12+1,1))-AVERAGE(OFFSET($H$3,0,0,'Données projet'!$E$12+1,1))</f>
        <v>587.74247372331615</v>
      </c>
      <c r="CE129" s="60">
        <f t="shared" si="94"/>
        <v>306.61893266146666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>
        <f>EXP(-LN(2)/35)*CK128+(1-EXP(-LN(2)/35))/(LN(2)/35)*CG129*CH129*VLOOKUP('Données projet'!$B$12,Paramètres!$A$1:$I$89,3,0)*0.475*44/12</f>
        <v>0</v>
      </c>
      <c r="CL129" s="23">
        <f>EXP(-LN(2)/25)*CL128+(1-EXP(-LN(2)/25))/(LN(2)/25)*Calculateur!CG129*Calculateur!CI129*VLOOKUP('Données projet'!$B$12,Paramètres!$A$1:$I$89,3,0)*0.475*44/12</f>
        <v>0</v>
      </c>
      <c r="CM129" s="23">
        <f>EXP(-LN(2)/2)*CM128+(1-EXP(-LN(2)/2))/(LN(2)/2)*CG129*CJ129*VLOOKUP('Données projet'!$B$12,Paramètres!$A$1:$I$89,3,0)*0.475*44/12</f>
        <v>0</v>
      </c>
      <c r="CN129" s="24">
        <f t="shared" si="66"/>
        <v>0</v>
      </c>
      <c r="CO129" s="77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4.2</v>
      </c>
      <c r="CT129" s="13">
        <f>IF('Données projet'!$A$140&gt;35,CT128+CS129-DB128,IF(A129&lt;'Données projet'!$A$140,$CQ$205^A129,IF(A129='Données projet'!$A$140,'Données projet'!$B$140,CT128+CS129-DB128)))</f>
        <v>377.19999999999982</v>
      </c>
      <c r="CU129" s="18">
        <f>CT129*VLOOKUP('Données projet'!$B$13,Paramètres!$A$1:$I$89,3,0)*VLOOKUP('Données projet'!$B$13,Paramètres!$A$1:$I$89,5,0)</f>
        <v>406.01807999999977</v>
      </c>
      <c r="CV129" s="14">
        <f t="shared" si="95"/>
        <v>92.995676185238253</v>
      </c>
      <c r="CW129" s="22">
        <f t="shared" si="67"/>
        <v>869.11562535595624</v>
      </c>
      <c r="CX129" s="60">
        <f t="shared" si="68"/>
        <v>1162.4489586892896</v>
      </c>
      <c r="CY129" s="60">
        <f ca="1">AVERAGE(OFFSET($CX$3,0,0,'Données projet'!$E$13+1,1))-AVERAGE(OFFSET($H$3,0,0,'Données projet'!$E$13+1,1))</f>
        <v>621.10465023992288</v>
      </c>
      <c r="CZ129" s="60">
        <f t="shared" si="96"/>
        <v>322.81767004794284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>
        <f>EXP(-LN(2)/35)*DF128+(1-EXP(-LN(2)/35))/(LN(2)/35)*DB129*DC129*VLOOKUP('Données projet'!$B$13,Paramètres!$A$1:$I$89,3,0)*0.475*44/12</f>
        <v>0</v>
      </c>
      <c r="DG129" s="23">
        <f>EXP(-LN(2)/25)*DG128+(1-EXP(-LN(2)/25))/(LN(2)/25)*Calculateur!DB129*Calculateur!DD129*VLOOKUP('Données projet'!$B$13,Paramètres!$A$1:$I$89,3,0)*0.475*44/12</f>
        <v>0</v>
      </c>
      <c r="DH129" s="23">
        <f>EXP(-LN(2)/2)*DH128+(1-EXP(-LN(2)/2))/(LN(2)/2)*DB129*DE129*VLOOKUP('Données projet'!$B$13,Paramètres!$A$1:$I$89,3,0)*0.475*44/12</f>
        <v>0</v>
      </c>
      <c r="DI129" s="24">
        <f t="shared" si="69"/>
        <v>0</v>
      </c>
      <c r="DJ129" s="77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4.2</v>
      </c>
      <c r="DO129" s="13">
        <f>IF('Données projet'!$A$166&gt;35,DO128+DN129-DW128,IF(A129&lt;'Données projet'!$A$166,$DL$205^A129,IF(A129='Données projet'!$A$166,'Données projet'!$B$166,DO128+DN129-DW128)))</f>
        <v>377.19999999999982</v>
      </c>
      <c r="DP129" s="18">
        <f>DO129*VLOOKUP('Données projet'!$B$14,Paramètres!$A$1:$I$89,3,0)*VLOOKUP('Données projet'!$B$14,Paramètres!$A$1:$I$89,5,0)</f>
        <v>364.82783999999987</v>
      </c>
      <c r="DQ129" s="14">
        <f t="shared" si="97"/>
        <v>84.608305419789914</v>
      </c>
      <c r="DR129" s="22">
        <f t="shared" si="70"/>
        <v>782.76795327280058</v>
      </c>
      <c r="DS129" s="60">
        <f t="shared" si="71"/>
        <v>1076.101286606134</v>
      </c>
      <c r="DT129" s="60">
        <f ca="1">AVERAGE(OFFSET($DS$3,0,0,'Données projet'!$E$14+1,1))-AVERAGE(OFFSET($H$3,0,0,'Données projet'!$E$14+1,1))</f>
        <v>562.69380557620775</v>
      </c>
      <c r="DU129" s="60">
        <f t="shared" si="98"/>
        <v>294.45557293177131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>
        <f>EXP(-LN(2)/35)*EA128+(1-EXP(-LN(2)/35))/(LN(2)/35)*DW129*DX129*VLOOKUP('Données projet'!$B$14,Paramètres!$A$1:$I$89,3,0)*0.475*44/12</f>
        <v>0</v>
      </c>
      <c r="EB129" s="23">
        <f>EXP(-LN(2)/25)*EB128+(1-EXP(-LN(2)/25))/(LN(2)/25)*Calculateur!DW129*Calculateur!DY129*VLOOKUP('Données projet'!$B$14,Paramètres!$A$1:$I$89,3,0)*0.475*44/12</f>
        <v>0</v>
      </c>
      <c r="EC129" s="23">
        <f>EXP(-LN(2)/2)*EC128+(1-EXP(-LN(2)/2))/(LN(2)/2)*DW129*DZ129*VLOOKUP('Données projet'!$B$14,Paramètres!$A$1:$I$89,3,0)*0.475*44/12</f>
        <v>0</v>
      </c>
      <c r="ED129" s="24">
        <f t="shared" si="72"/>
        <v>0</v>
      </c>
      <c r="EE129" s="77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1.1368683772161603E-13</v>
      </c>
      <c r="EK129" s="18">
        <f>EJ129*VLOOKUP('Données projet'!$B$15,Paramètres!$A$1:$I$89,3,0)*VLOOKUP('Données projet'!$B$15,Paramètres!$A$1:$I$89,5,0)</f>
        <v>8.8675733422860506E-14</v>
      </c>
      <c r="EL129" s="14">
        <f t="shared" si="99"/>
        <v>1.3509285393066301E-12</v>
      </c>
      <c r="EM129" s="22">
        <f t="shared" si="73"/>
        <v>2.5073107750038623E-12</v>
      </c>
      <c r="EN129" s="60">
        <f t="shared" si="74"/>
        <v>293.33333333333582</v>
      </c>
      <c r="EO129" s="60">
        <f ca="1">AVERAGE(OFFSET($EN$3,0,0,'Données projet'!$E$15+1,1))-AVERAGE(OFFSET($H$3,0,0,'Données projet'!$E$15+1,1))</f>
        <v>292.57482726862594</v>
      </c>
      <c r="EP129" s="60">
        <f t="shared" si="100"/>
        <v>283.48738729114024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>
        <f>EXP(-LN(2)/35)*EV128+(1-EXP(-LN(2)/35))/(LN(2)/35)*ER129*ES129*VLOOKUP('Données projet'!$B$15,Paramètres!$A$1:$I$89,3,0)*0.475*44/12</f>
        <v>0</v>
      </c>
      <c r="EW129" s="23">
        <f>EXP(-LN(2)/25)*EW128+(1-EXP(-LN(2)/25))/(LN(2)/25)*Calculateur!ER129*Calculateur!ET129*VLOOKUP('Données projet'!$B$15,Paramètres!$A$1:$I$89,3,0)*0.475*44/12</f>
        <v>0</v>
      </c>
      <c r="EX129" s="23">
        <f>EXP(-LN(2)/2)*EX128+(1-EXP(-LN(2)/2))/(LN(2)/2)*ER129*EU129*VLOOKUP('Données projet'!$B$15,Paramètres!$A$1:$I$89,3,0)*0.475*44/12</f>
        <v>0</v>
      </c>
      <c r="EY129" s="24">
        <f t="shared" si="75"/>
        <v>0</v>
      </c>
      <c r="EZ129" s="77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0" t="e">
        <f t="shared" si="77"/>
        <v>#N/A</v>
      </c>
      <c r="FJ129" s="60" t="e">
        <f ca="1">AVERAGE(OFFSET($FI$3,0,0,'Données projet'!$E$16+1,1))-AVERAGE(OFFSET($H$3,0,0,'Données projet'!$E$16+1,1))</f>
        <v>#N/A</v>
      </c>
      <c r="FK129" s="60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77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0" t="e">
        <f t="shared" si="80"/>
        <v>#N/A</v>
      </c>
      <c r="GE129" s="60" t="e">
        <f ca="1">AVERAGE(OFFSET($GD$3,0,0,'Données projet'!$E$17+1,1))-AVERAGE(OFFSET($H$3,0,0,'Données projet'!$E$17+1,1))</f>
        <v>#N/A</v>
      </c>
      <c r="GF129" s="60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77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0" t="e">
        <f t="shared" si="83"/>
        <v>#N/A</v>
      </c>
      <c r="GZ129" s="60" t="e">
        <f ca="1">AVERAGE(OFFSET($GY$3,0,0,'Données projet'!$E$18+1,1))-AVERAGE(OFFSET($H$3,0,0,'Données projet'!$E$18+1,1))</f>
        <v>#N/A</v>
      </c>
      <c r="HA129" s="60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25">
      <c r="A130" s="11">
        <f t="shared" si="85"/>
        <v>127</v>
      </c>
      <c r="B130" s="74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2">
        <f t="shared" si="86"/>
        <v>0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0</v>
      </c>
      <c r="H130" s="67">
        <f t="shared" si="56"/>
        <v>256.66666666666669</v>
      </c>
      <c r="I130" s="7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1.1368683772161603E-13</v>
      </c>
      <c r="O130" s="14">
        <f>N130*VLOOKUP('Données projet'!$B$9,Paramètres!$A$1:$I$89,3,0)*VLOOKUP('Données projet'!$B$9,Paramètres!$A$1:$I$89,5,0)</f>
        <v>1.0818439477588981E-13</v>
      </c>
      <c r="P130" s="14">
        <f t="shared" si="87"/>
        <v>1.6104228458716316E-12</v>
      </c>
      <c r="Q130" s="22">
        <f t="shared" si="107"/>
        <v>2.9932409441277661E-12</v>
      </c>
      <c r="R130" s="60">
        <f t="shared" si="55"/>
        <v>293.33333333333633</v>
      </c>
      <c r="S130" s="60">
        <f ca="1">AVERAGE(OFFSET($R$3,0,0,'Données projet'!$E$9+1,1))-AVERAGE(OFFSET($H$3,0,0,'Données projet'!$E$9+1,1))</f>
        <v>403.49781966317852</v>
      </c>
      <c r="T130" s="60">
        <f t="shared" si="88"/>
        <v>326.06674572505409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0</v>
      </c>
      <c r="AA130" s="23">
        <f>EXP(-LN(2)/25)*AA129+(1-EXP(-LN(2)/25))/(LN(2)/25)*Calculateur!V130*Calculateur!X130*VLOOKUP('Données projet'!$B$9,Paramètres!$A$1:$I$89,3,0)*0.475*44/12</f>
        <v>0</v>
      </c>
      <c r="AB130" s="23">
        <f>EXP(-LN(2)/2)*AB129+(1-EXP(-LN(2)/2))/(LN(2)/2)*V130*Y130*VLOOKUP('Données projet'!$B$9,Paramètres!$A$1:$I$89,3,0)*0.475*44/12</f>
        <v>0</v>
      </c>
      <c r="AC130" s="24">
        <f t="shared" si="57"/>
        <v>0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-1.1368683772161603E-13</v>
      </c>
      <c r="AJ130" s="14">
        <f>AI130*VLOOKUP('Données projet'!$B$10,Paramètres!$A$1:$I$89,3,0)*VLOOKUP('Données projet'!$B$10,Paramètres!$A$1:$I$89,5,0)</f>
        <v>-9.9316821433603781E-14</v>
      </c>
      <c r="AK130" s="14" t="e">
        <f t="shared" si="89"/>
        <v>#NUM!</v>
      </c>
      <c r="AL130" s="22" t="e">
        <f t="shared" si="58"/>
        <v>#NUM!</v>
      </c>
      <c r="AM130" s="60" t="e">
        <f t="shared" si="59"/>
        <v>#NUM!</v>
      </c>
      <c r="AN130" s="60">
        <f ca="1">AVERAGE(OFFSET($AM$3,0,0,'Données projet'!$E$10+1,1))-AVERAGE(OFFSET($H$3,0,0,'Données projet'!$E$10+1,1))</f>
        <v>274.66236526869056</v>
      </c>
      <c r="AO130" s="60">
        <f t="shared" si="90"/>
        <v>256.90876395053073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>
        <f>EXP(-LN(2)/35)*AU129+(1-EXP(-LN(2)/35))/(LN(2)/35)*AQ130*AR130*VLOOKUP('Données projet'!$B$10,Paramètres!$A$1:$I$89,3,0)*0.475*44/12</f>
        <v>0</v>
      </c>
      <c r="AV130" s="23">
        <f>EXP(-LN(2)/25)*AV129+(1-EXP(-LN(2)/25))/(LN(2)/25)*Calculateur!AQ130*Calculateur!AS130*VLOOKUP('Données projet'!$B$10,Paramètres!$A$1:$I$89,3,0)*0.475*44/12</f>
        <v>0</v>
      </c>
      <c r="AW130" s="23">
        <f>EXP(-LN(2)/2)*AW129+(1-EXP(-LN(2)/2))/(LN(2)/2)*AQ130*AT130*VLOOKUP('Données projet'!$B$10,Paramètres!$A$1:$I$89,3,0)*0.475*44/12</f>
        <v>0</v>
      </c>
      <c r="AX130" s="23">
        <f t="shared" si="60"/>
        <v>0</v>
      </c>
      <c r="AY130" s="76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4.2</v>
      </c>
      <c r="BD130" s="13">
        <f>IF('Données projet'!$A$88&gt;35,BD129+BC130-BL129,IF(A130&lt;'Données projet'!$A$88,$BA$205^A130,IF(A130='Données projet'!$A$88,'Données projet'!$B$88,BD129+BC130-BL129)))</f>
        <v>381.39999999999981</v>
      </c>
      <c r="BE130" s="14">
        <f>BD130*VLOOKUP('Données projet'!$B$11,Paramètres!$A$1:$I$89,3,0)*VLOOKUP('Données projet'!$B$11,Paramètres!$A$1:$I$89,5,0)</f>
        <v>345.09071999999981</v>
      </c>
      <c r="BF130" s="14">
        <f t="shared" si="91"/>
        <v>80.550809942790039</v>
      </c>
      <c r="BG130" s="22">
        <f t="shared" si="61"/>
        <v>741.32566465035904</v>
      </c>
      <c r="BH130" s="60">
        <f t="shared" si="62"/>
        <v>1034.6589979836924</v>
      </c>
      <c r="BI130" s="60">
        <f ca="1">AVERAGE(OFFSET($BH$3,0,0,'Données projet'!$E$11+1,1))-AVERAGE(OFFSET($H$3,0,0,'Données projet'!$E$11+1,1))</f>
        <v>529.25712986118265</v>
      </c>
      <c r="BJ130" s="60">
        <f t="shared" si="92"/>
        <v>278.21741231699929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>
        <f>EXP(-LN(2)/35)*BP129+(1-EXP(-LN(2)/35))/(LN(2)/35)*BL130*BM130*VLOOKUP('Données projet'!$B$11,Paramètres!$A$1:$I$89,3,0)*0.475*44/12</f>
        <v>0</v>
      </c>
      <c r="BQ130" s="23">
        <f>EXP(-LN(2)/25)*BQ129+(1-EXP(-LN(2)/25))/(LN(2)/25)*Calculateur!BL130*Calculateur!BN130*VLOOKUP('Données projet'!$B$11,Paramètres!$A$1:$I$89,3,0)*0.475*44/12</f>
        <v>0</v>
      </c>
      <c r="BR130" s="23">
        <f>EXP(-LN(2)/2)*BR129+(1-EXP(-LN(2)/2))/(LN(2)/2)*BL130*BO130*VLOOKUP('Données projet'!$B$11,Paramètres!$A$1:$I$89,3,0)*0.475*44/12</f>
        <v>0</v>
      </c>
      <c r="BS130" s="24">
        <f t="shared" si="63"/>
        <v>0</v>
      </c>
      <c r="BT130" s="77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4.2</v>
      </c>
      <c r="BY130" s="13">
        <f>IF('Données projet'!$A$114&gt;35,BY129+BX130-CG129,IF(A130&lt;'Données projet'!$A$114,$BV$205^A130,IF(A130='Données projet'!$A$114,'Données projet'!$B$114,BY129+BX130-CG129)))</f>
        <v>381.39999999999981</v>
      </c>
      <c r="BZ130" s="14">
        <f>BY130*VLOOKUP('Données projet'!$B$12,Paramètres!$A$1:$I$89,3,0)*VLOOKUP('Données projet'!$B$12,Paramètres!$A$1:$I$89,5,0)</f>
        <v>386.73959999999983</v>
      </c>
      <c r="CA130" s="14">
        <f t="shared" si="93"/>
        <v>89.083070631606091</v>
      </c>
      <c r="CB130" s="22">
        <f t="shared" si="64"/>
        <v>828.72448468338018</v>
      </c>
      <c r="CC130" s="60">
        <f t="shared" si="65"/>
        <v>1122.0578180167136</v>
      </c>
      <c r="CD130" s="60">
        <f ca="1">AVERAGE(OFFSET($CC$3,0,0,'Données projet'!$E$12+1,1))-AVERAGE(OFFSET($H$3,0,0,'Données projet'!$E$12+1,1))</f>
        <v>587.74247372331615</v>
      </c>
      <c r="CE130" s="60">
        <f t="shared" si="94"/>
        <v>306.61893266146666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>
        <f>EXP(-LN(2)/35)*CK129+(1-EXP(-LN(2)/35))/(LN(2)/35)*CG130*CH130*VLOOKUP('Données projet'!$B$12,Paramètres!$A$1:$I$89,3,0)*0.475*44/12</f>
        <v>0</v>
      </c>
      <c r="CL130" s="23">
        <f>EXP(-LN(2)/25)*CL129+(1-EXP(-LN(2)/25))/(LN(2)/25)*Calculateur!CG130*Calculateur!CI130*VLOOKUP('Données projet'!$B$12,Paramètres!$A$1:$I$89,3,0)*0.475*44/12</f>
        <v>0</v>
      </c>
      <c r="CM130" s="23">
        <f>EXP(-LN(2)/2)*CM129+(1-EXP(-LN(2)/2))/(LN(2)/2)*CG130*CJ130*VLOOKUP('Données projet'!$B$12,Paramètres!$A$1:$I$89,3,0)*0.475*44/12</f>
        <v>0</v>
      </c>
      <c r="CN130" s="24">
        <f t="shared" si="66"/>
        <v>0</v>
      </c>
      <c r="CO130" s="77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4.2</v>
      </c>
      <c r="CT130" s="13">
        <f>IF('Données projet'!$A$140&gt;35,CT129+CS130-DB129,IF(A130&lt;'Données projet'!$A$140,$CQ$205^A130,IF(A130='Données projet'!$A$140,'Données projet'!$B$140,CT129+CS130-DB129)))</f>
        <v>381.39999999999981</v>
      </c>
      <c r="CU130" s="18">
        <f>CT130*VLOOKUP('Données projet'!$B$13,Paramètres!$A$1:$I$89,3,0)*VLOOKUP('Données projet'!$B$13,Paramètres!$A$1:$I$89,5,0)</f>
        <v>410.53895999999975</v>
      </c>
      <c r="CV130" s="14">
        <f t="shared" si="95"/>
        <v>93.910032986354523</v>
      </c>
      <c r="CW130" s="22">
        <f t="shared" si="67"/>
        <v>878.5819961179003</v>
      </c>
      <c r="CX130" s="60">
        <f t="shared" si="68"/>
        <v>1171.9153294512337</v>
      </c>
      <c r="CY130" s="60">
        <f ca="1">AVERAGE(OFFSET($CX$3,0,0,'Données projet'!$E$13+1,1))-AVERAGE(OFFSET($H$3,0,0,'Données projet'!$E$13+1,1))</f>
        <v>621.10465023992288</v>
      </c>
      <c r="CZ130" s="60">
        <f t="shared" si="96"/>
        <v>322.81767004794284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>
        <f>EXP(-LN(2)/35)*DF129+(1-EXP(-LN(2)/35))/(LN(2)/35)*DB130*DC130*VLOOKUP('Données projet'!$B$13,Paramètres!$A$1:$I$89,3,0)*0.475*44/12</f>
        <v>0</v>
      </c>
      <c r="DG130" s="23">
        <f>EXP(-LN(2)/25)*DG129+(1-EXP(-LN(2)/25))/(LN(2)/25)*Calculateur!DB130*Calculateur!DD130*VLOOKUP('Données projet'!$B$13,Paramètres!$A$1:$I$89,3,0)*0.475*44/12</f>
        <v>0</v>
      </c>
      <c r="DH130" s="23">
        <f>EXP(-LN(2)/2)*DH129+(1-EXP(-LN(2)/2))/(LN(2)/2)*DB130*DE130*VLOOKUP('Données projet'!$B$13,Paramètres!$A$1:$I$89,3,0)*0.475*44/12</f>
        <v>0</v>
      </c>
      <c r="DI130" s="24">
        <f t="shared" si="69"/>
        <v>0</v>
      </c>
      <c r="DJ130" s="77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4.2</v>
      </c>
      <c r="DO130" s="13">
        <f>IF('Données projet'!$A$166&gt;35,DO129+DN130-DW129,IF(A130&lt;'Données projet'!$A$166,$DL$205^A130,IF(A130='Données projet'!$A$166,'Données projet'!$B$166,DO129+DN130-DW129)))</f>
        <v>381.39999999999981</v>
      </c>
      <c r="DP130" s="18">
        <f>DO130*VLOOKUP('Données projet'!$B$14,Paramètres!$A$1:$I$89,3,0)*VLOOKUP('Données projet'!$B$14,Paramètres!$A$1:$I$89,5,0)</f>
        <v>368.89007999999984</v>
      </c>
      <c r="DQ130" s="14">
        <f t="shared" si="97"/>
        <v>85.440195488930357</v>
      </c>
      <c r="DR130" s="22">
        <f t="shared" si="70"/>
        <v>791.29189647655346</v>
      </c>
      <c r="DS130" s="60">
        <f t="shared" si="71"/>
        <v>1084.6252298098868</v>
      </c>
      <c r="DT130" s="60">
        <f ca="1">AVERAGE(OFFSET($DS$3,0,0,'Données projet'!$E$14+1,1))-AVERAGE(OFFSET($H$3,0,0,'Données projet'!$E$14+1,1))</f>
        <v>562.69380557620775</v>
      </c>
      <c r="DU130" s="60">
        <f t="shared" si="98"/>
        <v>294.45557293177131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>
        <f>EXP(-LN(2)/35)*EA129+(1-EXP(-LN(2)/35))/(LN(2)/35)*DW130*DX130*VLOOKUP('Données projet'!$B$14,Paramètres!$A$1:$I$89,3,0)*0.475*44/12</f>
        <v>0</v>
      </c>
      <c r="EB130" s="23">
        <f>EXP(-LN(2)/25)*EB129+(1-EXP(-LN(2)/25))/(LN(2)/25)*Calculateur!DW130*Calculateur!DY130*VLOOKUP('Données projet'!$B$14,Paramètres!$A$1:$I$89,3,0)*0.475*44/12</f>
        <v>0</v>
      </c>
      <c r="EC130" s="23">
        <f>EXP(-LN(2)/2)*EC129+(1-EXP(-LN(2)/2))/(LN(2)/2)*DW130*DZ130*VLOOKUP('Données projet'!$B$14,Paramètres!$A$1:$I$89,3,0)*0.475*44/12</f>
        <v>0</v>
      </c>
      <c r="ED130" s="24">
        <f t="shared" si="72"/>
        <v>0</v>
      </c>
      <c r="EE130" s="77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1.1368683772161603E-13</v>
      </c>
      <c r="EK130" s="18">
        <f>EJ130*VLOOKUP('Données projet'!$B$15,Paramètres!$A$1:$I$89,3,0)*VLOOKUP('Données projet'!$B$15,Paramètres!$A$1:$I$89,5,0)</f>
        <v>8.8675733422860506E-14</v>
      </c>
      <c r="EL130" s="14">
        <f t="shared" si="99"/>
        <v>1.3509285393066301E-12</v>
      </c>
      <c r="EM130" s="22">
        <f t="shared" si="73"/>
        <v>2.5073107750038623E-12</v>
      </c>
      <c r="EN130" s="60">
        <f t="shared" si="74"/>
        <v>293.33333333333582</v>
      </c>
      <c r="EO130" s="60">
        <f ca="1">AVERAGE(OFFSET($EN$3,0,0,'Données projet'!$E$15+1,1))-AVERAGE(OFFSET($H$3,0,0,'Données projet'!$E$15+1,1))</f>
        <v>292.57482726862594</v>
      </c>
      <c r="EP130" s="60">
        <f t="shared" si="100"/>
        <v>283.48738729114024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>
        <f>EXP(-LN(2)/35)*EV129+(1-EXP(-LN(2)/35))/(LN(2)/35)*ER130*ES130*VLOOKUP('Données projet'!$B$15,Paramètres!$A$1:$I$89,3,0)*0.475*44/12</f>
        <v>0</v>
      </c>
      <c r="EW130" s="23">
        <f>EXP(-LN(2)/25)*EW129+(1-EXP(-LN(2)/25))/(LN(2)/25)*Calculateur!ER130*Calculateur!ET130*VLOOKUP('Données projet'!$B$15,Paramètres!$A$1:$I$89,3,0)*0.475*44/12</f>
        <v>0</v>
      </c>
      <c r="EX130" s="23">
        <f>EXP(-LN(2)/2)*EX129+(1-EXP(-LN(2)/2))/(LN(2)/2)*ER130*EU130*VLOOKUP('Données projet'!$B$15,Paramètres!$A$1:$I$89,3,0)*0.475*44/12</f>
        <v>0</v>
      </c>
      <c r="EY130" s="24">
        <f t="shared" si="75"/>
        <v>0</v>
      </c>
      <c r="EZ130" s="77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0" t="e">
        <f t="shared" si="77"/>
        <v>#N/A</v>
      </c>
      <c r="FJ130" s="60" t="e">
        <f ca="1">AVERAGE(OFFSET($FI$3,0,0,'Données projet'!$E$16+1,1))-AVERAGE(OFFSET($H$3,0,0,'Données projet'!$E$16+1,1))</f>
        <v>#N/A</v>
      </c>
      <c r="FK130" s="60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77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0" t="e">
        <f t="shared" si="80"/>
        <v>#N/A</v>
      </c>
      <c r="GE130" s="60" t="e">
        <f ca="1">AVERAGE(OFFSET($GD$3,0,0,'Données projet'!$E$17+1,1))-AVERAGE(OFFSET($H$3,0,0,'Données projet'!$E$17+1,1))</f>
        <v>#N/A</v>
      </c>
      <c r="GF130" s="60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77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0" t="e">
        <f t="shared" si="83"/>
        <v>#N/A</v>
      </c>
      <c r="GZ130" s="60" t="e">
        <f ca="1">AVERAGE(OFFSET($GY$3,0,0,'Données projet'!$E$18+1,1))-AVERAGE(OFFSET($H$3,0,0,'Données projet'!$E$18+1,1))</f>
        <v>#N/A</v>
      </c>
      <c r="HA130" s="60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25">
      <c r="A131" s="11">
        <f t="shared" si="85"/>
        <v>128</v>
      </c>
      <c r="B131" s="74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2">
        <f t="shared" si="86"/>
        <v>0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0</v>
      </c>
      <c r="H131" s="67">
        <f t="shared" si="56"/>
        <v>256.66666666666669</v>
      </c>
      <c r="I131" s="7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1.1368683772161603E-13</v>
      </c>
      <c r="O131" s="14">
        <f>N131*VLOOKUP('Données projet'!$B$9,Paramètres!$A$1:$I$89,3,0)*VLOOKUP('Données projet'!$B$9,Paramètres!$A$1:$I$89,5,0)</f>
        <v>1.0818439477588981E-13</v>
      </c>
      <c r="P131" s="14">
        <f t="shared" si="87"/>
        <v>1.6104228458716316E-12</v>
      </c>
      <c r="Q131" s="22">
        <f t="shared" ref="Q131:Q153" si="108">(O131+P131)*0.475*44/12</f>
        <v>2.9932409441277661E-12</v>
      </c>
      <c r="R131" s="60">
        <f t="shared" ref="R131:R194" si="109">Q131+(I131+J131)*44/12</f>
        <v>293.33333333333633</v>
      </c>
      <c r="S131" s="60">
        <f ca="1">AVERAGE(OFFSET($R$3,0,0,'Données projet'!$E$9+1,1))-AVERAGE(OFFSET($H$3,0,0,'Données projet'!$E$9+1,1))</f>
        <v>403.49781966317852</v>
      </c>
      <c r="T131" s="60">
        <f t="shared" si="88"/>
        <v>326.06674572505409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0</v>
      </c>
      <c r="AA131" s="23">
        <f>EXP(-LN(2)/25)*AA130+(1-EXP(-LN(2)/25))/(LN(2)/25)*Calculateur!V131*Calculateur!X131*VLOOKUP('Données projet'!$B$9,Paramètres!$A$1:$I$89,3,0)*0.475*44/12</f>
        <v>0</v>
      </c>
      <c r="AB131" s="23">
        <f>EXP(-LN(2)/2)*AB130+(1-EXP(-LN(2)/2))/(LN(2)/2)*V131*Y131*VLOOKUP('Données projet'!$B$9,Paramètres!$A$1:$I$89,3,0)*0.475*44/12</f>
        <v>0</v>
      </c>
      <c r="AC131" s="24">
        <f t="shared" si="57"/>
        <v>0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-1.1368683772161603E-13</v>
      </c>
      <c r="AJ131" s="14">
        <f>AI131*VLOOKUP('Données projet'!$B$10,Paramètres!$A$1:$I$89,3,0)*VLOOKUP('Données projet'!$B$10,Paramètres!$A$1:$I$89,5,0)</f>
        <v>-9.9316821433603781E-14</v>
      </c>
      <c r="AK131" s="14" t="e">
        <f t="shared" si="89"/>
        <v>#NUM!</v>
      </c>
      <c r="AL131" s="22" t="e">
        <f t="shared" si="58"/>
        <v>#NUM!</v>
      </c>
      <c r="AM131" s="60" t="e">
        <f t="shared" si="59"/>
        <v>#NUM!</v>
      </c>
      <c r="AN131" s="60">
        <f ca="1">AVERAGE(OFFSET($AM$3,0,0,'Données projet'!$E$10+1,1))-AVERAGE(OFFSET($H$3,0,0,'Données projet'!$E$10+1,1))</f>
        <v>274.66236526869056</v>
      </c>
      <c r="AO131" s="60">
        <f t="shared" si="90"/>
        <v>256.90876395053073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>
        <f>EXP(-LN(2)/35)*AU130+(1-EXP(-LN(2)/35))/(LN(2)/35)*AQ131*AR131*VLOOKUP('Données projet'!$B$10,Paramètres!$A$1:$I$89,3,0)*0.475*44/12</f>
        <v>0</v>
      </c>
      <c r="AV131" s="23">
        <f>EXP(-LN(2)/25)*AV130+(1-EXP(-LN(2)/25))/(LN(2)/25)*Calculateur!AQ131*Calculateur!AS131*VLOOKUP('Données projet'!$B$10,Paramètres!$A$1:$I$89,3,0)*0.475*44/12</f>
        <v>0</v>
      </c>
      <c r="AW131" s="23">
        <f>EXP(-LN(2)/2)*AW130+(1-EXP(-LN(2)/2))/(LN(2)/2)*AQ131*AT131*VLOOKUP('Données projet'!$B$10,Paramètres!$A$1:$I$89,3,0)*0.475*44/12</f>
        <v>0</v>
      </c>
      <c r="AX131" s="23">
        <f t="shared" si="60"/>
        <v>0</v>
      </c>
      <c r="AY131" s="76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4.2</v>
      </c>
      <c r="BD131" s="13">
        <f>IF('Données projet'!$A$88&gt;35,BD130+BC131-BL130,IF(A131&lt;'Données projet'!$A$88,$BA$205^A131,IF(A131='Données projet'!$A$88,'Données projet'!$B$88,BD130+BC131-BL130)))</f>
        <v>385.5999999999998</v>
      </c>
      <c r="BE131" s="14">
        <f>BD131*VLOOKUP('Données projet'!$B$11,Paramètres!$A$1:$I$89,3,0)*VLOOKUP('Données projet'!$B$11,Paramètres!$A$1:$I$89,5,0)</f>
        <v>348.89087999999981</v>
      </c>
      <c r="BF131" s="14">
        <f t="shared" si="91"/>
        <v>81.33408974133495</v>
      </c>
      <c r="BG131" s="22">
        <f t="shared" si="61"/>
        <v>749.30848896615805</v>
      </c>
      <c r="BH131" s="60">
        <f t="shared" si="62"/>
        <v>1042.6418222994914</v>
      </c>
      <c r="BI131" s="60">
        <f ca="1">AVERAGE(OFFSET($BH$3,0,0,'Données projet'!$E$11+1,1))-AVERAGE(OFFSET($H$3,0,0,'Données projet'!$E$11+1,1))</f>
        <v>529.25712986118265</v>
      </c>
      <c r="BJ131" s="60">
        <f t="shared" si="92"/>
        <v>278.21741231699929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>
        <f>EXP(-LN(2)/35)*BP130+(1-EXP(-LN(2)/35))/(LN(2)/35)*BL131*BM131*VLOOKUP('Données projet'!$B$11,Paramètres!$A$1:$I$89,3,0)*0.475*44/12</f>
        <v>0</v>
      </c>
      <c r="BQ131" s="23">
        <f>EXP(-LN(2)/25)*BQ130+(1-EXP(-LN(2)/25))/(LN(2)/25)*Calculateur!BL131*Calculateur!BN131*VLOOKUP('Données projet'!$B$11,Paramètres!$A$1:$I$89,3,0)*0.475*44/12</f>
        <v>0</v>
      </c>
      <c r="BR131" s="23">
        <f>EXP(-LN(2)/2)*BR130+(1-EXP(-LN(2)/2))/(LN(2)/2)*BL131*BO131*VLOOKUP('Données projet'!$B$11,Paramètres!$A$1:$I$89,3,0)*0.475*44/12</f>
        <v>0</v>
      </c>
      <c r="BS131" s="24">
        <f t="shared" si="63"/>
        <v>0</v>
      </c>
      <c r="BT131" s="77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4.2</v>
      </c>
      <c r="BY131" s="13">
        <f>IF('Données projet'!$A$114&gt;35,BY130+BX131-CG130,IF(A131&lt;'Données projet'!$A$114,$BV$205^A131,IF(A131='Données projet'!$A$114,'Données projet'!$B$114,BY130+BX131-CG130)))</f>
        <v>385.5999999999998</v>
      </c>
      <c r="BZ131" s="14">
        <f>BY131*VLOOKUP('Données projet'!$B$12,Paramètres!$A$1:$I$89,3,0)*VLOOKUP('Données projet'!$B$12,Paramètres!$A$1:$I$89,5,0)</f>
        <v>390.99839999999983</v>
      </c>
      <c r="CA131" s="14">
        <f t="shared" si="93"/>
        <v>89.949318527408053</v>
      </c>
      <c r="CB131" s="22">
        <f t="shared" si="64"/>
        <v>837.65060976856876</v>
      </c>
      <c r="CC131" s="60">
        <f t="shared" si="65"/>
        <v>1130.983943101902</v>
      </c>
      <c r="CD131" s="60">
        <f ca="1">AVERAGE(OFFSET($CC$3,0,0,'Données projet'!$E$12+1,1))-AVERAGE(OFFSET($H$3,0,0,'Données projet'!$E$12+1,1))</f>
        <v>587.74247372331615</v>
      </c>
      <c r="CE131" s="60">
        <f t="shared" si="94"/>
        <v>306.61893266146666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>
        <f>EXP(-LN(2)/35)*CK130+(1-EXP(-LN(2)/35))/(LN(2)/35)*CG131*CH131*VLOOKUP('Données projet'!$B$12,Paramètres!$A$1:$I$89,3,0)*0.475*44/12</f>
        <v>0</v>
      </c>
      <c r="CL131" s="23">
        <f>EXP(-LN(2)/25)*CL130+(1-EXP(-LN(2)/25))/(LN(2)/25)*Calculateur!CG131*Calculateur!CI131*VLOOKUP('Données projet'!$B$12,Paramètres!$A$1:$I$89,3,0)*0.475*44/12</f>
        <v>0</v>
      </c>
      <c r="CM131" s="23">
        <f>EXP(-LN(2)/2)*CM130+(1-EXP(-LN(2)/2))/(LN(2)/2)*CG131*CJ131*VLOOKUP('Données projet'!$B$12,Paramètres!$A$1:$I$89,3,0)*0.475*44/12</f>
        <v>0</v>
      </c>
      <c r="CN131" s="24">
        <f t="shared" si="66"/>
        <v>0</v>
      </c>
      <c r="CO131" s="77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4.2</v>
      </c>
      <c r="CT131" s="13">
        <f>IF('Données projet'!$A$140&gt;35,CT130+CS131-DB130,IF(A131&lt;'Données projet'!$A$140,$CQ$205^A131,IF(A131='Données projet'!$A$140,'Données projet'!$B$140,CT130+CS131-DB130)))</f>
        <v>385.5999999999998</v>
      </c>
      <c r="CU131" s="18">
        <f>CT131*VLOOKUP('Données projet'!$B$13,Paramètres!$A$1:$I$89,3,0)*VLOOKUP('Données projet'!$B$13,Paramètres!$A$1:$I$89,5,0)</f>
        <v>415.05983999999978</v>
      </c>
      <c r="CV131" s="14">
        <f t="shared" si="95"/>
        <v>94.823218487172383</v>
      </c>
      <c r="CW131" s="22">
        <f t="shared" si="67"/>
        <v>888.04632686515822</v>
      </c>
      <c r="CX131" s="60">
        <f t="shared" si="68"/>
        <v>1181.3796601984916</v>
      </c>
      <c r="CY131" s="60">
        <f ca="1">AVERAGE(OFFSET($CX$3,0,0,'Données projet'!$E$13+1,1))-AVERAGE(OFFSET($H$3,0,0,'Données projet'!$E$13+1,1))</f>
        <v>621.10465023992288</v>
      </c>
      <c r="CZ131" s="60">
        <f t="shared" si="96"/>
        <v>322.81767004794284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>
        <f>EXP(-LN(2)/35)*DF130+(1-EXP(-LN(2)/35))/(LN(2)/35)*DB131*DC131*VLOOKUP('Données projet'!$B$13,Paramètres!$A$1:$I$89,3,0)*0.475*44/12</f>
        <v>0</v>
      </c>
      <c r="DG131" s="23">
        <f>EXP(-LN(2)/25)*DG130+(1-EXP(-LN(2)/25))/(LN(2)/25)*Calculateur!DB131*Calculateur!DD131*VLOOKUP('Données projet'!$B$13,Paramètres!$A$1:$I$89,3,0)*0.475*44/12</f>
        <v>0</v>
      </c>
      <c r="DH131" s="23">
        <f>EXP(-LN(2)/2)*DH130+(1-EXP(-LN(2)/2))/(LN(2)/2)*DB131*DE131*VLOOKUP('Données projet'!$B$13,Paramètres!$A$1:$I$89,3,0)*0.475*44/12</f>
        <v>0</v>
      </c>
      <c r="DI131" s="24">
        <f t="shared" si="69"/>
        <v>0</v>
      </c>
      <c r="DJ131" s="77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4.2</v>
      </c>
      <c r="DO131" s="13">
        <f>IF('Données projet'!$A$166&gt;35,DO130+DN131-DW130,IF(A131&lt;'Données projet'!$A$166,$DL$205^A131,IF(A131='Données projet'!$A$166,'Données projet'!$B$166,DO130+DN131-DW130)))</f>
        <v>385.5999999999998</v>
      </c>
      <c r="DP131" s="18">
        <f>DO131*VLOOKUP('Données projet'!$B$14,Paramètres!$A$1:$I$89,3,0)*VLOOKUP('Données projet'!$B$14,Paramètres!$A$1:$I$89,5,0)</f>
        <v>372.95231999999982</v>
      </c>
      <c r="DQ131" s="14">
        <f t="shared" si="97"/>
        <v>86.271019898489143</v>
      </c>
      <c r="DR131" s="22">
        <f t="shared" si="70"/>
        <v>799.81398365653479</v>
      </c>
      <c r="DS131" s="60">
        <f t="shared" si="71"/>
        <v>1093.1473169898682</v>
      </c>
      <c r="DT131" s="60">
        <f ca="1">AVERAGE(OFFSET($DS$3,0,0,'Données projet'!$E$14+1,1))-AVERAGE(OFFSET($H$3,0,0,'Données projet'!$E$14+1,1))</f>
        <v>562.69380557620775</v>
      </c>
      <c r="DU131" s="60">
        <f t="shared" si="98"/>
        <v>294.45557293177131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>
        <f>EXP(-LN(2)/35)*EA130+(1-EXP(-LN(2)/35))/(LN(2)/35)*DW131*DX131*VLOOKUP('Données projet'!$B$14,Paramètres!$A$1:$I$89,3,0)*0.475*44/12</f>
        <v>0</v>
      </c>
      <c r="EB131" s="23">
        <f>EXP(-LN(2)/25)*EB130+(1-EXP(-LN(2)/25))/(LN(2)/25)*Calculateur!DW131*Calculateur!DY131*VLOOKUP('Données projet'!$B$14,Paramètres!$A$1:$I$89,3,0)*0.475*44/12</f>
        <v>0</v>
      </c>
      <c r="EC131" s="23">
        <f>EXP(-LN(2)/2)*EC130+(1-EXP(-LN(2)/2))/(LN(2)/2)*DW131*DZ131*VLOOKUP('Données projet'!$B$14,Paramètres!$A$1:$I$89,3,0)*0.475*44/12</f>
        <v>0</v>
      </c>
      <c r="ED131" s="24">
        <f t="shared" si="72"/>
        <v>0</v>
      </c>
      <c r="EE131" s="77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1.1368683772161603E-13</v>
      </c>
      <c r="EK131" s="18">
        <f>EJ131*VLOOKUP('Données projet'!$B$15,Paramètres!$A$1:$I$89,3,0)*VLOOKUP('Données projet'!$B$15,Paramètres!$A$1:$I$89,5,0)</f>
        <v>8.8675733422860506E-14</v>
      </c>
      <c r="EL131" s="14">
        <f t="shared" si="99"/>
        <v>1.3509285393066301E-12</v>
      </c>
      <c r="EM131" s="22">
        <f t="shared" si="73"/>
        <v>2.5073107750038623E-12</v>
      </c>
      <c r="EN131" s="60">
        <f t="shared" si="74"/>
        <v>293.33333333333582</v>
      </c>
      <c r="EO131" s="60">
        <f ca="1">AVERAGE(OFFSET($EN$3,0,0,'Données projet'!$E$15+1,1))-AVERAGE(OFFSET($H$3,0,0,'Données projet'!$E$15+1,1))</f>
        <v>292.57482726862594</v>
      </c>
      <c r="EP131" s="60">
        <f t="shared" si="100"/>
        <v>283.48738729114024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>
        <f>EXP(-LN(2)/35)*EV130+(1-EXP(-LN(2)/35))/(LN(2)/35)*ER131*ES131*VLOOKUP('Données projet'!$B$15,Paramètres!$A$1:$I$89,3,0)*0.475*44/12</f>
        <v>0</v>
      </c>
      <c r="EW131" s="23">
        <f>EXP(-LN(2)/25)*EW130+(1-EXP(-LN(2)/25))/(LN(2)/25)*Calculateur!ER131*Calculateur!ET131*VLOOKUP('Données projet'!$B$15,Paramètres!$A$1:$I$89,3,0)*0.475*44/12</f>
        <v>0</v>
      </c>
      <c r="EX131" s="23">
        <f>EXP(-LN(2)/2)*EX130+(1-EXP(-LN(2)/2))/(LN(2)/2)*ER131*EU131*VLOOKUP('Données projet'!$B$15,Paramètres!$A$1:$I$89,3,0)*0.475*44/12</f>
        <v>0</v>
      </c>
      <c r="EY131" s="24">
        <f t="shared" si="75"/>
        <v>0</v>
      </c>
      <c r="EZ131" s="77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0" t="e">
        <f t="shared" si="77"/>
        <v>#N/A</v>
      </c>
      <c r="FJ131" s="60" t="e">
        <f ca="1">AVERAGE(OFFSET($FI$3,0,0,'Données projet'!$E$16+1,1))-AVERAGE(OFFSET($H$3,0,0,'Données projet'!$E$16+1,1))</f>
        <v>#N/A</v>
      </c>
      <c r="FK131" s="60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77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0" t="e">
        <f t="shared" si="80"/>
        <v>#N/A</v>
      </c>
      <c r="GE131" s="60" t="e">
        <f ca="1">AVERAGE(OFFSET($GD$3,0,0,'Données projet'!$E$17+1,1))-AVERAGE(OFFSET($H$3,0,0,'Données projet'!$E$17+1,1))</f>
        <v>#N/A</v>
      </c>
      <c r="GF131" s="60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77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0" t="e">
        <f t="shared" si="83"/>
        <v>#N/A</v>
      </c>
      <c r="GZ131" s="60" t="e">
        <f ca="1">AVERAGE(OFFSET($GY$3,0,0,'Données projet'!$E$18+1,1))-AVERAGE(OFFSET($H$3,0,0,'Données projet'!$E$18+1,1))</f>
        <v>#N/A</v>
      </c>
      <c r="HA131" s="60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25">
      <c r="A132" s="11">
        <f t="shared" si="85"/>
        <v>129</v>
      </c>
      <c r="B132" s="74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2">
        <f t="shared" si="86"/>
        <v>0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0</v>
      </c>
      <c r="H132" s="67">
        <f t="shared" ref="H132:H195" si="110">(B132+E132+F132)*44/12+(C132+D132)*0.475*44/12</f>
        <v>256.66666666666669</v>
      </c>
      <c r="I132" s="7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1.1368683772161603E-13</v>
      </c>
      <c r="O132" s="14">
        <f>N132*VLOOKUP('Données projet'!$B$9,Paramètres!$A$1:$I$89,3,0)*VLOOKUP('Données projet'!$B$9,Paramètres!$A$1:$I$89,5,0)</f>
        <v>1.0818439477588981E-13</v>
      </c>
      <c r="P132" s="14">
        <f t="shared" si="87"/>
        <v>1.6104228458716316E-12</v>
      </c>
      <c r="Q132" s="22">
        <f t="shared" si="108"/>
        <v>2.9932409441277661E-12</v>
      </c>
      <c r="R132" s="60">
        <f t="shared" si="109"/>
        <v>293.33333333333633</v>
      </c>
      <c r="S132" s="60">
        <f ca="1">AVERAGE(OFFSET($R$3,0,0,'Données projet'!$E$9+1,1))-AVERAGE(OFFSET($H$3,0,0,'Données projet'!$E$9+1,1))</f>
        <v>403.49781966317852</v>
      </c>
      <c r="T132" s="60">
        <f t="shared" si="88"/>
        <v>326.06674572505409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0</v>
      </c>
      <c r="AA132" s="23">
        <f>EXP(-LN(2)/25)*AA131+(1-EXP(-LN(2)/25))/(LN(2)/25)*Calculateur!V132*Calculateur!X132*VLOOKUP('Données projet'!$B$9,Paramètres!$A$1:$I$89,3,0)*0.475*44/12</f>
        <v>0</v>
      </c>
      <c r="AB132" s="23">
        <f>EXP(-LN(2)/2)*AB131+(1-EXP(-LN(2)/2))/(LN(2)/2)*V132*Y132*VLOOKUP('Données projet'!$B$9,Paramètres!$A$1:$I$89,3,0)*0.475*44/12</f>
        <v>0</v>
      </c>
      <c r="AC132" s="24">
        <f t="shared" ref="AC132:AC153" si="111">SUM(Z132:AB132)</f>
        <v>0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-1.1368683772161603E-13</v>
      </c>
      <c r="AJ132" s="14">
        <f>AI132*VLOOKUP('Données projet'!$B$10,Paramètres!$A$1:$I$89,3,0)*VLOOKUP('Données projet'!$B$10,Paramètres!$A$1:$I$89,5,0)</f>
        <v>-9.9316821433603781E-14</v>
      </c>
      <c r="AK132" s="14" t="e">
        <f t="shared" si="89"/>
        <v>#NUM!</v>
      </c>
      <c r="AL132" s="22" t="e">
        <f t="shared" ref="AL132:AL153" si="112">(AJ132+AK132)*0.475*44/12</f>
        <v>#NUM!</v>
      </c>
      <c r="AM132" s="60" t="e">
        <f t="shared" ref="AM132:AM195" si="113">AL132+(AD132+AE132)*44/12</f>
        <v>#NUM!</v>
      </c>
      <c r="AN132" s="60">
        <f ca="1">AVERAGE(OFFSET($AM$3,0,0,'Données projet'!$E$10+1,1))-AVERAGE(OFFSET($H$3,0,0,'Données projet'!$E$10+1,1))</f>
        <v>274.66236526869056</v>
      </c>
      <c r="AO132" s="60">
        <f t="shared" si="90"/>
        <v>256.90876395053073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>
        <f>EXP(-LN(2)/35)*AU131+(1-EXP(-LN(2)/35))/(LN(2)/35)*AQ132*AR132*VLOOKUP('Données projet'!$B$10,Paramètres!$A$1:$I$89,3,0)*0.475*44/12</f>
        <v>0</v>
      </c>
      <c r="AV132" s="23">
        <f>EXP(-LN(2)/25)*AV131+(1-EXP(-LN(2)/25))/(LN(2)/25)*Calculateur!AQ132*Calculateur!AS132*VLOOKUP('Données projet'!$B$10,Paramètres!$A$1:$I$89,3,0)*0.475*44/12</f>
        <v>0</v>
      </c>
      <c r="AW132" s="23">
        <f>EXP(-LN(2)/2)*AW131+(1-EXP(-LN(2)/2))/(LN(2)/2)*AQ132*AT132*VLOOKUP('Données projet'!$B$10,Paramètres!$A$1:$I$89,3,0)*0.475*44/12</f>
        <v>0</v>
      </c>
      <c r="AX132" s="23">
        <f t="shared" ref="AX132:AX153" si="114">SUM(AU132:AW132)</f>
        <v>0</v>
      </c>
      <c r="AY132" s="76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4.2</v>
      </c>
      <c r="BD132" s="13">
        <f>IF('Données projet'!$A$88&gt;35,BD131+BC132-BL131,IF(A132&lt;'Données projet'!$A$88,$BA$205^A132,IF(A132='Données projet'!$A$88,'Données projet'!$B$88,BD131+BC132-BL131)))</f>
        <v>389.79999999999978</v>
      </c>
      <c r="BE132" s="14">
        <f>BD132*VLOOKUP('Données projet'!$B$11,Paramètres!$A$1:$I$89,3,0)*VLOOKUP('Données projet'!$B$11,Paramètres!$A$1:$I$89,5,0)</f>
        <v>352.69103999999982</v>
      </c>
      <c r="BF132" s="14">
        <f t="shared" si="91"/>
        <v>82.116377073111735</v>
      </c>
      <c r="BG132" s="22">
        <f t="shared" ref="BG132:BG153" si="115">(BE132+BF132)*0.475*44/12</f>
        <v>757.28958473566934</v>
      </c>
      <c r="BH132" s="60">
        <f t="shared" ref="BH132:BH195" si="116">BG132+(AY132+AZ132)*44/12</f>
        <v>1050.6229180690027</v>
      </c>
      <c r="BI132" s="60">
        <f ca="1">AVERAGE(OFFSET($BH$3,0,0,'Données projet'!$E$11+1,1))-AVERAGE(OFFSET($H$3,0,0,'Données projet'!$E$11+1,1))</f>
        <v>529.25712986118265</v>
      </c>
      <c r="BJ132" s="60">
        <f t="shared" si="92"/>
        <v>278.21741231699929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>
        <f>EXP(-LN(2)/35)*BP131+(1-EXP(-LN(2)/35))/(LN(2)/35)*BL132*BM132*VLOOKUP('Données projet'!$B$11,Paramètres!$A$1:$I$89,3,0)*0.475*44/12</f>
        <v>0</v>
      </c>
      <c r="BQ132" s="23">
        <f>EXP(-LN(2)/25)*BQ131+(1-EXP(-LN(2)/25))/(LN(2)/25)*Calculateur!BL132*Calculateur!BN132*VLOOKUP('Données projet'!$B$11,Paramètres!$A$1:$I$89,3,0)*0.475*44/12</f>
        <v>0</v>
      </c>
      <c r="BR132" s="23">
        <f>EXP(-LN(2)/2)*BR131+(1-EXP(-LN(2)/2))/(LN(2)/2)*BL132*BO132*VLOOKUP('Données projet'!$B$11,Paramètres!$A$1:$I$89,3,0)*0.475*44/12</f>
        <v>0</v>
      </c>
      <c r="BS132" s="24">
        <f t="shared" ref="BS132:BS153" si="117">SUM(BP132:BR132)</f>
        <v>0</v>
      </c>
      <c r="BT132" s="77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4.2</v>
      </c>
      <c r="BY132" s="13">
        <f>IF('Données projet'!$A$114&gt;35,BY131+BX132-CG131,IF(A132&lt;'Données projet'!$A$114,$BV$205^A132,IF(A132='Données projet'!$A$114,'Données projet'!$B$114,BY131+BX132-CG131)))</f>
        <v>389.79999999999978</v>
      </c>
      <c r="BZ132" s="14">
        <f>BY132*VLOOKUP('Données projet'!$B$12,Paramètres!$A$1:$I$89,3,0)*VLOOKUP('Données projet'!$B$12,Paramètres!$A$1:$I$89,5,0)</f>
        <v>395.25719999999978</v>
      </c>
      <c r="CA132" s="14">
        <f t="shared" si="93"/>
        <v>90.814468830432659</v>
      </c>
      <c r="CB132" s="22">
        <f t="shared" ref="CB132:CB153" si="118">(BZ132+CA132)*0.475*44/12</f>
        <v>846.57482321300313</v>
      </c>
      <c r="CC132" s="60">
        <f t="shared" ref="CC132:CC195" si="119">CB132+(BT132+BU132)*44/12</f>
        <v>1139.9081565463364</v>
      </c>
      <c r="CD132" s="60">
        <f ca="1">AVERAGE(OFFSET($CC$3,0,0,'Données projet'!$E$12+1,1))-AVERAGE(OFFSET($H$3,0,0,'Données projet'!$E$12+1,1))</f>
        <v>587.74247372331615</v>
      </c>
      <c r="CE132" s="60">
        <f t="shared" si="94"/>
        <v>306.61893266146666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>
        <f>EXP(-LN(2)/35)*CK131+(1-EXP(-LN(2)/35))/(LN(2)/35)*CG132*CH132*VLOOKUP('Données projet'!$B$12,Paramètres!$A$1:$I$89,3,0)*0.475*44/12</f>
        <v>0</v>
      </c>
      <c r="CL132" s="23">
        <f>EXP(-LN(2)/25)*CL131+(1-EXP(-LN(2)/25))/(LN(2)/25)*Calculateur!CG132*Calculateur!CI132*VLOOKUP('Données projet'!$B$12,Paramètres!$A$1:$I$89,3,0)*0.475*44/12</f>
        <v>0</v>
      </c>
      <c r="CM132" s="23">
        <f>EXP(-LN(2)/2)*CM131+(1-EXP(-LN(2)/2))/(LN(2)/2)*CG132*CJ132*VLOOKUP('Données projet'!$B$12,Paramètres!$A$1:$I$89,3,0)*0.475*44/12</f>
        <v>0</v>
      </c>
      <c r="CN132" s="24">
        <f t="shared" ref="CN132:CN153" si="120">SUM(CK132:CM132)</f>
        <v>0</v>
      </c>
      <c r="CO132" s="77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4.2</v>
      </c>
      <c r="CT132" s="13">
        <f>IF('Données projet'!$A$140&gt;35,CT131+CS132-DB131,IF(A132&lt;'Données projet'!$A$140,$CQ$205^A132,IF(A132='Données projet'!$A$140,'Données projet'!$B$140,CT131+CS132-DB131)))</f>
        <v>389.79999999999978</v>
      </c>
      <c r="CU132" s="18">
        <f>CT132*VLOOKUP('Données projet'!$B$13,Paramètres!$A$1:$I$89,3,0)*VLOOKUP('Données projet'!$B$13,Paramètres!$A$1:$I$89,5,0)</f>
        <v>419.58071999999976</v>
      </c>
      <c r="CV132" s="14">
        <f t="shared" si="95"/>
        <v>95.735246922195458</v>
      </c>
      <c r="CW132" s="22">
        <f t="shared" ref="CW132:CW153" si="121">(CU132+CV132)*0.475*44/12</f>
        <v>897.50864238948998</v>
      </c>
      <c r="CX132" s="60">
        <f t="shared" ref="CX132:CX195" si="122">CW132+(CO132+CP132)*44/12</f>
        <v>1190.8419757228232</v>
      </c>
      <c r="CY132" s="60">
        <f ca="1">AVERAGE(OFFSET($CX$3,0,0,'Données projet'!$E$13+1,1))-AVERAGE(OFFSET($H$3,0,0,'Données projet'!$E$13+1,1))</f>
        <v>621.10465023992288</v>
      </c>
      <c r="CZ132" s="60">
        <f t="shared" si="96"/>
        <v>322.81767004794284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>
        <f>EXP(-LN(2)/35)*DF131+(1-EXP(-LN(2)/35))/(LN(2)/35)*DB132*DC132*VLOOKUP('Données projet'!$B$13,Paramètres!$A$1:$I$89,3,0)*0.475*44/12</f>
        <v>0</v>
      </c>
      <c r="DG132" s="23">
        <f>EXP(-LN(2)/25)*DG131+(1-EXP(-LN(2)/25))/(LN(2)/25)*Calculateur!DB132*Calculateur!DD132*VLOOKUP('Données projet'!$B$13,Paramètres!$A$1:$I$89,3,0)*0.475*44/12</f>
        <v>0</v>
      </c>
      <c r="DH132" s="23">
        <f>EXP(-LN(2)/2)*DH131+(1-EXP(-LN(2)/2))/(LN(2)/2)*DB132*DE132*VLOOKUP('Données projet'!$B$13,Paramètres!$A$1:$I$89,3,0)*0.475*44/12</f>
        <v>0</v>
      </c>
      <c r="DI132" s="24">
        <f t="shared" ref="DI132:DI153" si="123">SUM(DF132:DH132)</f>
        <v>0</v>
      </c>
      <c r="DJ132" s="77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4.2</v>
      </c>
      <c r="DO132" s="13">
        <f>IF('Données projet'!$A$166&gt;35,DO131+DN132-DW131,IF(A132&lt;'Données projet'!$A$166,$DL$205^A132,IF(A132='Données projet'!$A$166,'Données projet'!$B$166,DO131+DN132-DW131)))</f>
        <v>389.79999999999978</v>
      </c>
      <c r="DP132" s="18">
        <f>DO132*VLOOKUP('Données projet'!$B$14,Paramètres!$A$1:$I$89,3,0)*VLOOKUP('Données projet'!$B$14,Paramètres!$A$1:$I$89,5,0)</f>
        <v>377.01455999999979</v>
      </c>
      <c r="DQ132" s="14">
        <f t="shared" si="97"/>
        <v>87.100791599146149</v>
      </c>
      <c r="DR132" s="22">
        <f t="shared" ref="DR132:DR153" si="124">(DP132+DQ132)*0.475*44/12</f>
        <v>808.33423736851239</v>
      </c>
      <c r="DS132" s="60">
        <f t="shared" ref="DS132:DS195" si="125">DR132+(DJ132+DK132)*44/12</f>
        <v>1101.6675707018458</v>
      </c>
      <c r="DT132" s="60">
        <f ca="1">AVERAGE(OFFSET($DS$3,0,0,'Données projet'!$E$14+1,1))-AVERAGE(OFFSET($H$3,0,0,'Données projet'!$E$14+1,1))</f>
        <v>562.69380557620775</v>
      </c>
      <c r="DU132" s="60">
        <f t="shared" si="98"/>
        <v>294.45557293177131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>
        <f>EXP(-LN(2)/35)*EA131+(1-EXP(-LN(2)/35))/(LN(2)/35)*DW132*DX132*VLOOKUP('Données projet'!$B$14,Paramètres!$A$1:$I$89,3,0)*0.475*44/12</f>
        <v>0</v>
      </c>
      <c r="EB132" s="23">
        <f>EXP(-LN(2)/25)*EB131+(1-EXP(-LN(2)/25))/(LN(2)/25)*Calculateur!DW132*Calculateur!DY132*VLOOKUP('Données projet'!$B$14,Paramètres!$A$1:$I$89,3,0)*0.475*44/12</f>
        <v>0</v>
      </c>
      <c r="EC132" s="23">
        <f>EXP(-LN(2)/2)*EC131+(1-EXP(-LN(2)/2))/(LN(2)/2)*DW132*DZ132*VLOOKUP('Données projet'!$B$14,Paramètres!$A$1:$I$89,3,0)*0.475*44/12</f>
        <v>0</v>
      </c>
      <c r="ED132" s="24">
        <f t="shared" ref="ED132:ED153" si="126">SUM(EA132:EC132)</f>
        <v>0</v>
      </c>
      <c r="EE132" s="77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1.1368683772161603E-13</v>
      </c>
      <c r="EK132" s="18">
        <f>EJ132*VLOOKUP('Données projet'!$B$15,Paramètres!$A$1:$I$89,3,0)*VLOOKUP('Données projet'!$B$15,Paramètres!$A$1:$I$89,5,0)</f>
        <v>8.8675733422860506E-14</v>
      </c>
      <c r="EL132" s="14">
        <f t="shared" si="99"/>
        <v>1.3509285393066301E-12</v>
      </c>
      <c r="EM132" s="22">
        <f t="shared" ref="EM132:EM153" si="127">(EK132+EL132)*0.475*44/12</f>
        <v>2.5073107750038623E-12</v>
      </c>
      <c r="EN132" s="60">
        <f t="shared" ref="EN132:EN195" si="128">EM132+(EE132+EF132)*44/12</f>
        <v>293.33333333333582</v>
      </c>
      <c r="EO132" s="60">
        <f ca="1">AVERAGE(OFFSET($EN$3,0,0,'Données projet'!$E$15+1,1))-AVERAGE(OFFSET($H$3,0,0,'Données projet'!$E$15+1,1))</f>
        <v>292.57482726862594</v>
      </c>
      <c r="EP132" s="60">
        <f t="shared" si="100"/>
        <v>283.48738729114024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>
        <f>EXP(-LN(2)/35)*EV131+(1-EXP(-LN(2)/35))/(LN(2)/35)*ER132*ES132*VLOOKUP('Données projet'!$B$15,Paramètres!$A$1:$I$89,3,0)*0.475*44/12</f>
        <v>0</v>
      </c>
      <c r="EW132" s="23">
        <f>EXP(-LN(2)/25)*EW131+(1-EXP(-LN(2)/25))/(LN(2)/25)*Calculateur!ER132*Calculateur!ET132*VLOOKUP('Données projet'!$B$15,Paramètres!$A$1:$I$89,3,0)*0.475*44/12</f>
        <v>0</v>
      </c>
      <c r="EX132" s="23">
        <f>EXP(-LN(2)/2)*EX131+(1-EXP(-LN(2)/2))/(LN(2)/2)*ER132*EU132*VLOOKUP('Données projet'!$B$15,Paramètres!$A$1:$I$89,3,0)*0.475*44/12</f>
        <v>0</v>
      </c>
      <c r="EY132" s="24">
        <f t="shared" ref="EY132:EY153" si="129">SUM(EV132:EX132)</f>
        <v>0</v>
      </c>
      <c r="EZ132" s="77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0" t="e">
        <f t="shared" ref="FI132:FI195" si="131">FH132+(EZ132+FA132)*44/12</f>
        <v>#N/A</v>
      </c>
      <c r="FJ132" s="60" t="e">
        <f ca="1">AVERAGE(OFFSET($FI$3,0,0,'Données projet'!$E$16+1,1))-AVERAGE(OFFSET($H$3,0,0,'Données projet'!$E$16+1,1))</f>
        <v>#N/A</v>
      </c>
      <c r="FK132" s="60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77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0" t="e">
        <f t="shared" ref="GD132:GD195" si="134">GC132+(FU132+FV132)*44/12</f>
        <v>#N/A</v>
      </c>
      <c r="GE132" s="60" t="e">
        <f ca="1">AVERAGE(OFFSET($GD$3,0,0,'Données projet'!$E$17+1,1))-AVERAGE(OFFSET($H$3,0,0,'Données projet'!$E$17+1,1))</f>
        <v>#N/A</v>
      </c>
      <c r="GF132" s="60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77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0" t="e">
        <f t="shared" ref="GY132:GY195" si="137">GX132+(GP132+GQ132)*44/12</f>
        <v>#N/A</v>
      </c>
      <c r="GZ132" s="60" t="e">
        <f ca="1">AVERAGE(OFFSET($GY$3,0,0,'Données projet'!$E$18+1,1))-AVERAGE(OFFSET($H$3,0,0,'Données projet'!$E$18+1,1))</f>
        <v>#N/A</v>
      </c>
      <c r="HA132" s="60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25">
      <c r="A133" s="11">
        <f t="shared" ref="A133:A152" si="139">A132+1</f>
        <v>130</v>
      </c>
      <c r="B133" s="74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2">
        <f t="shared" ref="D133:D196" si="140">IFERROR(EXP(-1.0587+0.8836*LN(C133)+0.284),0)</f>
        <v>0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0</v>
      </c>
      <c r="H133" s="67">
        <f t="shared" si="110"/>
        <v>256.66666666666669</v>
      </c>
      <c r="I133" s="7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1.1368683772161603E-13</v>
      </c>
      <c r="O133" s="14">
        <f>N133*VLOOKUP('Données projet'!$B$9,Paramètres!$A$1:$I$89,3,0)*VLOOKUP('Données projet'!$B$9,Paramètres!$A$1:$I$89,5,0)</f>
        <v>1.0818439477588981E-13</v>
      </c>
      <c r="P133" s="14">
        <f t="shared" ref="P133:P196" si="141">EXP(-1.0587+0.8836*LN(O133)+0.284)</f>
        <v>1.6104228458716316E-12</v>
      </c>
      <c r="Q133" s="22">
        <f t="shared" si="108"/>
        <v>2.9932409441277661E-12</v>
      </c>
      <c r="R133" s="60">
        <f t="shared" si="109"/>
        <v>293.33333333333633</v>
      </c>
      <c r="S133" s="60">
        <f ca="1">AVERAGE(OFFSET($R$3,0,0,'Données projet'!$E$9+1,1))-AVERAGE(OFFSET($H$3,0,0,'Données projet'!$E$9+1,1))</f>
        <v>403.49781966317852</v>
      </c>
      <c r="T133" s="60">
        <f t="shared" ref="T133:T196" si="142">$T$3</f>
        <v>326.06674572505409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0</v>
      </c>
      <c r="AA133" s="23">
        <f>EXP(-LN(2)/25)*AA132+(1-EXP(-LN(2)/25))/(LN(2)/25)*Calculateur!V133*Calculateur!X133*VLOOKUP('Données projet'!$B$9,Paramètres!$A$1:$I$89,3,0)*0.475*44/12</f>
        <v>0</v>
      </c>
      <c r="AB133" s="23">
        <f>EXP(-LN(2)/2)*AB132+(1-EXP(-LN(2)/2))/(LN(2)/2)*V133*Y133*VLOOKUP('Données projet'!$B$9,Paramètres!$A$1:$I$89,3,0)*0.475*44/12</f>
        <v>0</v>
      </c>
      <c r="AC133" s="24">
        <f t="shared" si="111"/>
        <v>0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-1.1368683772161603E-13</v>
      </c>
      <c r="AJ133" s="14">
        <f>AI133*VLOOKUP('Données projet'!$B$10,Paramètres!$A$1:$I$89,3,0)*VLOOKUP('Données projet'!$B$10,Paramètres!$A$1:$I$89,5,0)</f>
        <v>-9.9316821433603781E-14</v>
      </c>
      <c r="AK133" s="14" t="e">
        <f t="shared" ref="AK133:AK153" si="143">EXP(-1.0587+0.8836*LN(AJ133)+0.284)</f>
        <v>#NUM!</v>
      </c>
      <c r="AL133" s="22" t="e">
        <f t="shared" si="112"/>
        <v>#NUM!</v>
      </c>
      <c r="AM133" s="60" t="e">
        <f t="shared" si="113"/>
        <v>#NUM!</v>
      </c>
      <c r="AN133" s="60">
        <f ca="1">AVERAGE(OFFSET($AM$3,0,0,'Données projet'!$E$10+1,1))-AVERAGE(OFFSET($H$3,0,0,'Données projet'!$E$10+1,1))</f>
        <v>274.66236526869056</v>
      </c>
      <c r="AO133" s="60">
        <f t="shared" ref="AO133:AO196" si="144">$AO$3</f>
        <v>256.90876395053073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>
        <f>EXP(-LN(2)/35)*AU132+(1-EXP(-LN(2)/35))/(LN(2)/35)*AQ133*AR133*VLOOKUP('Données projet'!$B$10,Paramètres!$A$1:$I$89,3,0)*0.475*44/12</f>
        <v>0</v>
      </c>
      <c r="AV133" s="23">
        <f>EXP(-LN(2)/25)*AV132+(1-EXP(-LN(2)/25))/(LN(2)/25)*Calculateur!AQ133*Calculateur!AS133*VLOOKUP('Données projet'!$B$10,Paramètres!$A$1:$I$89,3,0)*0.475*44/12</f>
        <v>0</v>
      </c>
      <c r="AW133" s="23">
        <f>EXP(-LN(2)/2)*AW132+(1-EXP(-LN(2)/2))/(LN(2)/2)*AQ133*AT133*VLOOKUP('Données projet'!$B$10,Paramètres!$A$1:$I$89,3,0)*0.475*44/12</f>
        <v>0</v>
      </c>
      <c r="AX133" s="23">
        <f t="shared" si="114"/>
        <v>0</v>
      </c>
      <c r="AY133" s="76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>
        <f>VLOOKUP(A133,'Données projet'!$A$87:$I$107,2,0)</f>
        <v>394</v>
      </c>
      <c r="BB133" s="13">
        <f>VLOOKUP(A133,'Données projet'!$A$87:$I$107,9,0)</f>
        <v>4.2</v>
      </c>
      <c r="BC133" s="13">
        <f t="array" ref="BC133">INDEX(BB:BB,MIN(IF(ISNUMBER(BB133:BB329),ROW(BB133:BB329),"")))</f>
        <v>4.2</v>
      </c>
      <c r="BD133" s="13">
        <f>IF('Données projet'!$A$88&gt;35,BD132+BC133-BL132,IF(A133&lt;'Données projet'!$A$88,$BA$205^A133,IF(A133='Données projet'!$A$88,'Données projet'!$B$88,BD132+BC133-BL132)))</f>
        <v>393.99999999999977</v>
      </c>
      <c r="BE133" s="14">
        <f>BD133*VLOOKUP('Données projet'!$B$11,Paramètres!$A$1:$I$89,3,0)*VLOOKUP('Données projet'!$B$11,Paramètres!$A$1:$I$89,5,0)</f>
        <v>356.49119999999976</v>
      </c>
      <c r="BF133" s="14">
        <f t="shared" ref="BF133:BF153" si="145">EXP(-1.0587+0.8836*LN(BE133)+0.284)</f>
        <v>82.897683869422281</v>
      </c>
      <c r="BG133" s="22">
        <f t="shared" si="115"/>
        <v>765.2689727392434</v>
      </c>
      <c r="BH133" s="60">
        <f t="shared" si="116"/>
        <v>1058.6023060725768</v>
      </c>
      <c r="BI133" s="60">
        <f ca="1">AVERAGE(OFFSET($BH$3,0,0,'Données projet'!$E$11+1,1))-AVERAGE(OFFSET($H$3,0,0,'Données projet'!$E$11+1,1))</f>
        <v>529.25712986118265</v>
      </c>
      <c r="BJ133" s="60">
        <f t="shared" ref="BJ133:BJ196" si="146">$BJ$3</f>
        <v>278.21741231699929</v>
      </c>
      <c r="BK133" s="16">
        <f>IF(ISNA(VLOOKUP(A133,'Données projet'!$A$87:$I$107,3,0)),0,VLOOKUP(A133,'Données projet'!$A$87:$I$107,3,0))</f>
        <v>9</v>
      </c>
      <c r="BL133" s="16">
        <f>IF(ISNA(VLOOKUP(A133,'Données projet'!$A$87:$I$107,4,0)),0,VLOOKUP(A133,'Données projet'!$A$87:$I$107,4,0))</f>
        <v>91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>
        <f>EXP(-LN(2)/35)*BP132+(1-EXP(-LN(2)/35))/(LN(2)/35)*BL133*BM133*VLOOKUP('Données projet'!$B$11,Paramètres!$A$1:$I$89,3,0)*0.475*44/12</f>
        <v>0</v>
      </c>
      <c r="BQ133" s="23">
        <f>EXP(-LN(2)/25)*BQ132+(1-EXP(-LN(2)/25))/(LN(2)/25)*Calculateur!BL133*Calculateur!BN133*VLOOKUP('Données projet'!$B$11,Paramètres!$A$1:$I$89,3,0)*0.475*44/12</f>
        <v>0</v>
      </c>
      <c r="BR133" s="23">
        <f>EXP(-LN(2)/2)*BR132+(1-EXP(-LN(2)/2))/(LN(2)/2)*BL133*BO133*VLOOKUP('Données projet'!$B$11,Paramètres!$A$1:$I$89,3,0)*0.475*44/12</f>
        <v>0</v>
      </c>
      <c r="BS133" s="24">
        <f t="shared" si="117"/>
        <v>0</v>
      </c>
      <c r="BT133" s="77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>
        <f>VLOOKUP(A133,'Données projet'!$A$113:$I$133,2,0)</f>
        <v>394</v>
      </c>
      <c r="BW133" s="13">
        <f>VLOOKUP(A133,'Données projet'!$A$113:$I$133,9,0)</f>
        <v>4.2</v>
      </c>
      <c r="BX133" s="13">
        <f t="array" ref="BX133">INDEX(BW:BW,MIN(IF(ISNUMBER(BW133:BW329),ROW(BW133:BW329),"")))</f>
        <v>4.2</v>
      </c>
      <c r="BY133" s="13">
        <f>IF('Données projet'!$A$114&gt;35,BY132+BX133-CG132,IF(A133&lt;'Données projet'!$A$114,$BV$205^A133,IF(A133='Données projet'!$A$114,'Données projet'!$B$114,BY132+BX133-CG132)))</f>
        <v>393.99999999999977</v>
      </c>
      <c r="BZ133" s="14">
        <f>BY133*VLOOKUP('Données projet'!$B$12,Paramètres!$A$1:$I$89,3,0)*VLOOKUP('Données projet'!$B$12,Paramètres!$A$1:$I$89,5,0)</f>
        <v>399.51599999999979</v>
      </c>
      <c r="CA133" s="14">
        <f t="shared" ref="CA133:CA153" si="147">EXP(-1.0587+0.8836*LN(BZ133)+0.284)</f>
        <v>91.678534735792596</v>
      </c>
      <c r="CB133" s="22">
        <f t="shared" si="118"/>
        <v>855.49714799817173</v>
      </c>
      <c r="CC133" s="60">
        <f t="shared" si="119"/>
        <v>1148.8304813315051</v>
      </c>
      <c r="CD133" s="60">
        <f ca="1">AVERAGE(OFFSET($CC$3,0,0,'Données projet'!$E$12+1,1))-AVERAGE(OFFSET($H$3,0,0,'Données projet'!$E$12+1,1))</f>
        <v>587.74247372331615</v>
      </c>
      <c r="CE133" s="60">
        <f t="shared" ref="CE133:CE196" si="148">$CE$3</f>
        <v>306.61893266146666</v>
      </c>
      <c r="CF133" s="16">
        <f>IF(ISNA(VLOOKUP(A133,'Données projet'!$A$113:$I$133,3,0)),0,VLOOKUP(A133,'Données projet'!$A$113:$I$133,3,0))</f>
        <v>9</v>
      </c>
      <c r="CG133" s="16">
        <f>IF(ISNA(VLOOKUP(A133,'Données projet'!$A$113:$I$133,4,0)),0,VLOOKUP(A133,'Données projet'!$A$113:$I$133,4,0))</f>
        <v>91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>
        <f>EXP(-LN(2)/35)*CK132+(1-EXP(-LN(2)/35))/(LN(2)/35)*CG133*CH133*VLOOKUP('Données projet'!$B$12,Paramètres!$A$1:$I$89,3,0)*0.475*44/12</f>
        <v>0</v>
      </c>
      <c r="CL133" s="23">
        <f>EXP(-LN(2)/25)*CL132+(1-EXP(-LN(2)/25))/(LN(2)/25)*Calculateur!CG133*Calculateur!CI133*VLOOKUP('Données projet'!$B$12,Paramètres!$A$1:$I$89,3,0)*0.475*44/12</f>
        <v>0</v>
      </c>
      <c r="CM133" s="23">
        <f>EXP(-LN(2)/2)*CM132+(1-EXP(-LN(2)/2))/(LN(2)/2)*CG133*CJ133*VLOOKUP('Données projet'!$B$12,Paramètres!$A$1:$I$89,3,0)*0.475*44/12</f>
        <v>0</v>
      </c>
      <c r="CN133" s="24">
        <f t="shared" si="120"/>
        <v>0</v>
      </c>
      <c r="CO133" s="77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>
        <f>VLOOKUP(A133,'Données projet'!$A$139:$I$159,2,0)</f>
        <v>394</v>
      </c>
      <c r="CR133" s="13">
        <f>VLOOKUP(A133,'Données projet'!$A$139:$I$159,9,0)</f>
        <v>4.2</v>
      </c>
      <c r="CS133" s="13">
        <f t="array" ref="CS133">INDEX(CR:CR,MIN(IF(ISNUMBER(CR133:CR329),ROW(CR133:CR329),"")))</f>
        <v>4.2</v>
      </c>
      <c r="CT133" s="13">
        <f>IF('Données projet'!$A$140&gt;35,CT132+CS133-DB132,IF(A133&lt;'Données projet'!$A$140,$CQ$205^A133,IF(A133='Données projet'!$A$140,'Données projet'!$B$140,CT132+CS133-DB132)))</f>
        <v>393.99999999999977</v>
      </c>
      <c r="CU133" s="18">
        <f>CT133*VLOOKUP('Données projet'!$B$13,Paramètres!$A$1:$I$89,3,0)*VLOOKUP('Données projet'!$B$13,Paramètres!$A$1:$I$89,5,0)</f>
        <v>424.10159999999979</v>
      </c>
      <c r="CV133" s="14">
        <f t="shared" ref="CV133:CV153" si="149">EXP(-1.0587+0.8836*LN(CU133)+0.284)</f>
        <v>96.646132201513026</v>
      </c>
      <c r="CW133" s="22">
        <f t="shared" si="121"/>
        <v>906.9689669176347</v>
      </c>
      <c r="CX133" s="60">
        <f t="shared" si="122"/>
        <v>1200.3023002509681</v>
      </c>
      <c r="CY133" s="60">
        <f ca="1">AVERAGE(OFFSET($CX$3,0,0,'Données projet'!$E$13+1,1))-AVERAGE(OFFSET($H$3,0,0,'Données projet'!$E$13+1,1))</f>
        <v>621.10465023992288</v>
      </c>
      <c r="CZ133" s="60">
        <f t="shared" ref="CZ133:CZ196" si="150">$CZ$3</f>
        <v>322.81767004794284</v>
      </c>
      <c r="DA133" s="16">
        <f>IF(ISNA(VLOOKUP(A133,'Données projet'!$A$139:$I$159,3,0)),0,VLOOKUP(A133,'Données projet'!$A$139:$I$159,3,0))</f>
        <v>9</v>
      </c>
      <c r="DB133" s="16">
        <f>IF(ISNA(VLOOKUP(A133,'Données projet'!$A$139:$I$159,4,0)),0,VLOOKUP(A133,'Données projet'!$A$139:$I$159,4,0))</f>
        <v>91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>
        <f>EXP(-LN(2)/35)*DF132+(1-EXP(-LN(2)/35))/(LN(2)/35)*DB133*DC133*VLOOKUP('Données projet'!$B$13,Paramètres!$A$1:$I$89,3,0)*0.475*44/12</f>
        <v>0</v>
      </c>
      <c r="DG133" s="23">
        <f>EXP(-LN(2)/25)*DG132+(1-EXP(-LN(2)/25))/(LN(2)/25)*Calculateur!DB133*Calculateur!DD133*VLOOKUP('Données projet'!$B$13,Paramètres!$A$1:$I$89,3,0)*0.475*44/12</f>
        <v>0</v>
      </c>
      <c r="DH133" s="23">
        <f>EXP(-LN(2)/2)*DH132+(1-EXP(-LN(2)/2))/(LN(2)/2)*DB133*DE133*VLOOKUP('Données projet'!$B$13,Paramètres!$A$1:$I$89,3,0)*0.475*44/12</f>
        <v>0</v>
      </c>
      <c r="DI133" s="24">
        <f t="shared" si="123"/>
        <v>0</v>
      </c>
      <c r="DJ133" s="77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>
        <f>VLOOKUP(A133,'Données projet'!$A$165:$I$185,2,0)</f>
        <v>394</v>
      </c>
      <c r="DM133" s="13">
        <f>VLOOKUP(A133,'Données projet'!$A$165:$I$185,9,0)</f>
        <v>4.2</v>
      </c>
      <c r="DN133" s="13">
        <f t="array" ref="DN133">INDEX(DM:DM,MIN(IF(ISNUMBER(DM133:DM329),ROW(DM133:DM329),"")))</f>
        <v>4.2</v>
      </c>
      <c r="DO133" s="13">
        <f>IF('Données projet'!$A$166&gt;35,DO132+DN133-DW132,IF(A133&lt;'Données projet'!$A$166,$DL$205^A133,IF(A133='Données projet'!$A$166,'Données projet'!$B$166,DO132+DN133-DW132)))</f>
        <v>393.99999999999977</v>
      </c>
      <c r="DP133" s="18">
        <f>DO133*VLOOKUP('Données projet'!$B$14,Paramètres!$A$1:$I$89,3,0)*VLOOKUP('Données projet'!$B$14,Paramètres!$A$1:$I$89,5,0)</f>
        <v>381.07679999999982</v>
      </c>
      <c r="DQ133" s="14">
        <f t="shared" ref="DQ133:DQ153" si="151">EXP(-1.0587+0.8836*LN(DP133)+0.284)</f>
        <v>87.929523246425944</v>
      </c>
      <c r="DR133" s="22">
        <f t="shared" si="124"/>
        <v>816.85267965419155</v>
      </c>
      <c r="DS133" s="60">
        <f t="shared" si="125"/>
        <v>1110.1860129875249</v>
      </c>
      <c r="DT133" s="60">
        <f ca="1">AVERAGE(OFFSET($DS$3,0,0,'Données projet'!$E$14+1,1))-AVERAGE(OFFSET($H$3,0,0,'Données projet'!$E$14+1,1))</f>
        <v>562.69380557620775</v>
      </c>
      <c r="DU133" s="60">
        <f t="shared" ref="DU133:DU196" si="152">$DU$3</f>
        <v>294.45557293177131</v>
      </c>
      <c r="DV133" s="16">
        <f>IF(ISNA(VLOOKUP(A133,'Données projet'!$A$165:$I$185,3,0)),0,VLOOKUP(A133,'Données projet'!$A$165:$I$185,3,0))</f>
        <v>9</v>
      </c>
      <c r="DW133" s="16">
        <f>IF(ISNA(VLOOKUP(A133,'Données projet'!$A$165:$I$185,4,0)),0,VLOOKUP(A133,'Données projet'!$A$165:$I$185,4,0))</f>
        <v>91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>
        <f>EXP(-LN(2)/35)*EA132+(1-EXP(-LN(2)/35))/(LN(2)/35)*DW133*DX133*VLOOKUP('Données projet'!$B$14,Paramètres!$A$1:$I$89,3,0)*0.475*44/12</f>
        <v>0</v>
      </c>
      <c r="EB133" s="23">
        <f>EXP(-LN(2)/25)*EB132+(1-EXP(-LN(2)/25))/(LN(2)/25)*Calculateur!DW133*Calculateur!DY133*VLOOKUP('Données projet'!$B$14,Paramètres!$A$1:$I$89,3,0)*0.475*44/12</f>
        <v>0</v>
      </c>
      <c r="EC133" s="23">
        <f>EXP(-LN(2)/2)*EC132+(1-EXP(-LN(2)/2))/(LN(2)/2)*DW133*DZ133*VLOOKUP('Données projet'!$B$14,Paramètres!$A$1:$I$89,3,0)*0.475*44/12</f>
        <v>0</v>
      </c>
      <c r="ED133" s="24">
        <f t="shared" si="126"/>
        <v>0</v>
      </c>
      <c r="EE133" s="77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1.1368683772161603E-13</v>
      </c>
      <c r="EK133" s="18">
        <f>EJ133*VLOOKUP('Données projet'!$B$15,Paramètres!$A$1:$I$89,3,0)*VLOOKUP('Données projet'!$B$15,Paramètres!$A$1:$I$89,5,0)</f>
        <v>8.8675733422860506E-14</v>
      </c>
      <c r="EL133" s="14">
        <f t="shared" ref="EL133:EL153" si="153">EXP(-1.0587+0.8836*LN(EK133)+0.284)</f>
        <v>1.3509285393066301E-12</v>
      </c>
      <c r="EM133" s="22">
        <f t="shared" si="127"/>
        <v>2.5073107750038623E-12</v>
      </c>
      <c r="EN133" s="60">
        <f t="shared" si="128"/>
        <v>293.33333333333582</v>
      </c>
      <c r="EO133" s="60">
        <f ca="1">AVERAGE(OFFSET($EN$3,0,0,'Données projet'!$E$15+1,1))-AVERAGE(OFFSET($H$3,0,0,'Données projet'!$E$15+1,1))</f>
        <v>292.57482726862594</v>
      </c>
      <c r="EP133" s="60">
        <f t="shared" ref="EP133:EP196" si="154">$EP$3</f>
        <v>283.48738729114024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>
        <f>EXP(-LN(2)/35)*EV132+(1-EXP(-LN(2)/35))/(LN(2)/35)*ER133*ES133*VLOOKUP('Données projet'!$B$15,Paramètres!$A$1:$I$89,3,0)*0.475*44/12</f>
        <v>0</v>
      </c>
      <c r="EW133" s="23">
        <f>EXP(-LN(2)/25)*EW132+(1-EXP(-LN(2)/25))/(LN(2)/25)*Calculateur!ER133*Calculateur!ET133*VLOOKUP('Données projet'!$B$15,Paramètres!$A$1:$I$89,3,0)*0.475*44/12</f>
        <v>0</v>
      </c>
      <c r="EX133" s="23">
        <f>EXP(-LN(2)/2)*EX132+(1-EXP(-LN(2)/2))/(LN(2)/2)*ER133*EU133*VLOOKUP('Données projet'!$B$15,Paramètres!$A$1:$I$89,3,0)*0.475*44/12</f>
        <v>0</v>
      </c>
      <c r="EY133" s="24">
        <f t="shared" si="129"/>
        <v>0</v>
      </c>
      <c r="EZ133" s="77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0" t="e">
        <f t="shared" si="131"/>
        <v>#N/A</v>
      </c>
      <c r="FJ133" s="60" t="e">
        <f ca="1">AVERAGE(OFFSET($FI$3,0,0,'Données projet'!$E$16+1,1))-AVERAGE(OFFSET($H$3,0,0,'Données projet'!$E$16+1,1))</f>
        <v>#N/A</v>
      </c>
      <c r="FK133" s="60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77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0" t="e">
        <f t="shared" si="134"/>
        <v>#N/A</v>
      </c>
      <c r="GE133" s="60" t="e">
        <f ca="1">AVERAGE(OFFSET($GD$3,0,0,'Données projet'!$E$17+1,1))-AVERAGE(OFFSET($H$3,0,0,'Données projet'!$E$17+1,1))</f>
        <v>#N/A</v>
      </c>
      <c r="GF133" s="60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77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0" t="e">
        <f t="shared" si="137"/>
        <v>#N/A</v>
      </c>
      <c r="GZ133" s="60" t="e">
        <f ca="1">AVERAGE(OFFSET($GY$3,0,0,'Données projet'!$E$18+1,1))-AVERAGE(OFFSET($H$3,0,0,'Données projet'!$E$18+1,1))</f>
        <v>#N/A</v>
      </c>
      <c r="HA133" s="60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25">
      <c r="A134" s="11">
        <f t="shared" si="139"/>
        <v>131</v>
      </c>
      <c r="B134" s="74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2">
        <f t="shared" si="140"/>
        <v>0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0</v>
      </c>
      <c r="H134" s="67">
        <f t="shared" si="110"/>
        <v>256.66666666666669</v>
      </c>
      <c r="I134" s="7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1.1368683772161603E-13</v>
      </c>
      <c r="O134" s="14">
        <f>N134*VLOOKUP('Données projet'!$B$9,Paramètres!$A$1:$I$89,3,0)*VLOOKUP('Données projet'!$B$9,Paramètres!$A$1:$I$89,5,0)</f>
        <v>1.0818439477588981E-13</v>
      </c>
      <c r="P134" s="14">
        <f t="shared" si="141"/>
        <v>1.6104228458716316E-12</v>
      </c>
      <c r="Q134" s="22">
        <f t="shared" si="108"/>
        <v>2.9932409441277661E-12</v>
      </c>
      <c r="R134" s="60">
        <f t="shared" si="109"/>
        <v>293.33333333333633</v>
      </c>
      <c r="S134" s="60">
        <f ca="1">AVERAGE(OFFSET($R$3,0,0,'Données projet'!$E$9+1,1))-AVERAGE(OFFSET($H$3,0,0,'Données projet'!$E$9+1,1))</f>
        <v>403.49781966317852</v>
      </c>
      <c r="T134" s="60">
        <f t="shared" si="142"/>
        <v>326.06674572505409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0</v>
      </c>
      <c r="AA134" s="23">
        <f>EXP(-LN(2)/25)*AA133+(1-EXP(-LN(2)/25))/(LN(2)/25)*Calculateur!V134*Calculateur!X134*VLOOKUP('Données projet'!$B$9,Paramètres!$A$1:$I$89,3,0)*0.475*44/12</f>
        <v>0</v>
      </c>
      <c r="AB134" s="23">
        <f>EXP(-LN(2)/2)*AB133+(1-EXP(-LN(2)/2))/(LN(2)/2)*V134*Y134*VLOOKUP('Données projet'!$B$9,Paramètres!$A$1:$I$89,3,0)*0.475*44/12</f>
        <v>0</v>
      </c>
      <c r="AC134" s="24">
        <f t="shared" si="111"/>
        <v>0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-1.1368683772161603E-13</v>
      </c>
      <c r="AJ134" s="14">
        <f>AI134*VLOOKUP('Données projet'!$B$10,Paramètres!$A$1:$I$89,3,0)*VLOOKUP('Données projet'!$B$10,Paramètres!$A$1:$I$89,5,0)</f>
        <v>-9.9316821433603781E-14</v>
      </c>
      <c r="AK134" s="14" t="e">
        <f t="shared" si="143"/>
        <v>#NUM!</v>
      </c>
      <c r="AL134" s="22" t="e">
        <f t="shared" si="112"/>
        <v>#NUM!</v>
      </c>
      <c r="AM134" s="60" t="e">
        <f t="shared" si="113"/>
        <v>#NUM!</v>
      </c>
      <c r="AN134" s="60">
        <f ca="1">AVERAGE(OFFSET($AM$3,0,0,'Données projet'!$E$10+1,1))-AVERAGE(OFFSET($H$3,0,0,'Données projet'!$E$10+1,1))</f>
        <v>274.66236526869056</v>
      </c>
      <c r="AO134" s="60">
        <f t="shared" si="144"/>
        <v>256.90876395053073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>
        <f>EXP(-LN(2)/35)*AU133+(1-EXP(-LN(2)/35))/(LN(2)/35)*AQ134*AR134*VLOOKUP('Données projet'!$B$10,Paramètres!$A$1:$I$89,3,0)*0.475*44/12</f>
        <v>0</v>
      </c>
      <c r="AV134" s="23">
        <f>EXP(-LN(2)/25)*AV133+(1-EXP(-LN(2)/25))/(LN(2)/25)*Calculateur!AQ134*Calculateur!AS134*VLOOKUP('Données projet'!$B$10,Paramètres!$A$1:$I$89,3,0)*0.475*44/12</f>
        <v>0</v>
      </c>
      <c r="AW134" s="23">
        <f>EXP(-LN(2)/2)*AW133+(1-EXP(-LN(2)/2))/(LN(2)/2)*AQ134*AT134*VLOOKUP('Données projet'!$B$10,Paramètres!$A$1:$I$89,3,0)*0.475*44/12</f>
        <v>0</v>
      </c>
      <c r="AX134" s="23">
        <f t="shared" si="114"/>
        <v>0</v>
      </c>
      <c r="AY134" s="76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3.8</v>
      </c>
      <c r="BD134" s="13">
        <f>IF('Données projet'!$A$88&gt;35,BD133+BC134-BL133,IF(A134&lt;'Données projet'!$A$88,$BA$205^A134,IF(A134='Données projet'!$A$88,'Données projet'!$B$88,BD133+BC134-BL133)))</f>
        <v>306.79999999999978</v>
      </c>
      <c r="BE134" s="14">
        <f>BD134*VLOOKUP('Données projet'!$B$11,Paramètres!$A$1:$I$89,3,0)*VLOOKUP('Données projet'!$B$11,Paramètres!$A$1:$I$89,5,0)</f>
        <v>277.59263999999979</v>
      </c>
      <c r="BF134" s="14">
        <f t="shared" si="145"/>
        <v>66.458009122425523</v>
      </c>
      <c r="BG134" s="22">
        <f t="shared" si="115"/>
        <v>599.22154722155733</v>
      </c>
      <c r="BH134" s="60">
        <f t="shared" si="116"/>
        <v>892.55488055489059</v>
      </c>
      <c r="BI134" s="60">
        <f ca="1">AVERAGE(OFFSET($BH$3,0,0,'Données projet'!$E$11+1,1))-AVERAGE(OFFSET($H$3,0,0,'Données projet'!$E$11+1,1))</f>
        <v>529.25712986118265</v>
      </c>
      <c r="BJ134" s="60">
        <f t="shared" si="146"/>
        <v>278.21741231699929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>
        <f>EXP(-LN(2)/35)*BP133+(1-EXP(-LN(2)/35))/(LN(2)/35)*BL134*BM134*VLOOKUP('Données projet'!$B$11,Paramètres!$A$1:$I$89,3,0)*0.475*44/12</f>
        <v>0</v>
      </c>
      <c r="BQ134" s="23">
        <f>EXP(-LN(2)/25)*BQ133+(1-EXP(-LN(2)/25))/(LN(2)/25)*Calculateur!BL134*Calculateur!BN134*VLOOKUP('Données projet'!$B$11,Paramètres!$A$1:$I$89,3,0)*0.475*44/12</f>
        <v>0</v>
      </c>
      <c r="BR134" s="23">
        <f>EXP(-LN(2)/2)*BR133+(1-EXP(-LN(2)/2))/(LN(2)/2)*BL134*BO134*VLOOKUP('Données projet'!$B$11,Paramètres!$A$1:$I$89,3,0)*0.475*44/12</f>
        <v>0</v>
      </c>
      <c r="BS134" s="24">
        <f t="shared" si="117"/>
        <v>0</v>
      </c>
      <c r="BT134" s="77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3.8</v>
      </c>
      <c r="BY134" s="13">
        <f>IF('Données projet'!$A$114&gt;35,BY133+BX134-CG133,IF(A134&lt;'Données projet'!$A$114,$BV$205^A134,IF(A134='Données projet'!$A$114,'Données projet'!$B$114,BY133+BX134-CG133)))</f>
        <v>306.79999999999978</v>
      </c>
      <c r="BZ134" s="14">
        <f>BY134*VLOOKUP('Données projet'!$B$12,Paramètres!$A$1:$I$89,3,0)*VLOOKUP('Données projet'!$B$12,Paramètres!$A$1:$I$89,5,0)</f>
        <v>311.09519999999981</v>
      </c>
      <c r="CA134" s="14">
        <f t="shared" si="147"/>
        <v>73.497504555121779</v>
      </c>
      <c r="CB134" s="22">
        <f t="shared" si="118"/>
        <v>669.83229376683676</v>
      </c>
      <c r="CC134" s="60">
        <f t="shared" si="119"/>
        <v>963.16562710017001</v>
      </c>
      <c r="CD134" s="60">
        <f ca="1">AVERAGE(OFFSET($CC$3,0,0,'Données projet'!$E$12+1,1))-AVERAGE(OFFSET($H$3,0,0,'Données projet'!$E$12+1,1))</f>
        <v>587.74247372331615</v>
      </c>
      <c r="CE134" s="60">
        <f t="shared" si="148"/>
        <v>306.61893266146666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>
        <f>EXP(-LN(2)/35)*CK133+(1-EXP(-LN(2)/35))/(LN(2)/35)*CG134*CH134*VLOOKUP('Données projet'!$B$12,Paramètres!$A$1:$I$89,3,0)*0.475*44/12</f>
        <v>0</v>
      </c>
      <c r="CL134" s="23">
        <f>EXP(-LN(2)/25)*CL133+(1-EXP(-LN(2)/25))/(LN(2)/25)*Calculateur!CG134*Calculateur!CI134*VLOOKUP('Données projet'!$B$12,Paramètres!$A$1:$I$89,3,0)*0.475*44/12</f>
        <v>0</v>
      </c>
      <c r="CM134" s="23">
        <f>EXP(-LN(2)/2)*CM133+(1-EXP(-LN(2)/2))/(LN(2)/2)*CG134*CJ134*VLOOKUP('Données projet'!$B$12,Paramètres!$A$1:$I$89,3,0)*0.475*44/12</f>
        <v>0</v>
      </c>
      <c r="CN134" s="24">
        <f t="shared" si="120"/>
        <v>0</v>
      </c>
      <c r="CO134" s="77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3.8</v>
      </c>
      <c r="CT134" s="13">
        <f>IF('Données projet'!$A$140&gt;35,CT133+CS134-DB133,IF(A134&lt;'Données projet'!$A$140,$CQ$205^A134,IF(A134='Données projet'!$A$140,'Données projet'!$B$140,CT133+CS134-DB133)))</f>
        <v>306.79999999999978</v>
      </c>
      <c r="CU134" s="18">
        <f>CT134*VLOOKUP('Données projet'!$B$13,Paramètres!$A$1:$I$89,3,0)*VLOOKUP('Données projet'!$B$13,Paramètres!$A$1:$I$89,5,0)</f>
        <v>330.23951999999974</v>
      </c>
      <c r="CV134" s="14">
        <f t="shared" si="149"/>
        <v>77.479963681644549</v>
      </c>
      <c r="CW134" s="22">
        <f t="shared" si="121"/>
        <v>710.11143407886391</v>
      </c>
      <c r="CX134" s="60">
        <f t="shared" si="122"/>
        <v>1003.4447674121973</v>
      </c>
      <c r="CY134" s="60">
        <f ca="1">AVERAGE(OFFSET($CX$3,0,0,'Données projet'!$E$13+1,1))-AVERAGE(OFFSET($H$3,0,0,'Données projet'!$E$13+1,1))</f>
        <v>621.10465023992288</v>
      </c>
      <c r="CZ134" s="60">
        <f t="shared" si="150"/>
        <v>322.81767004794284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>
        <f>EXP(-LN(2)/35)*DF133+(1-EXP(-LN(2)/35))/(LN(2)/35)*DB134*DC134*VLOOKUP('Données projet'!$B$13,Paramètres!$A$1:$I$89,3,0)*0.475*44/12</f>
        <v>0</v>
      </c>
      <c r="DG134" s="23">
        <f>EXP(-LN(2)/25)*DG133+(1-EXP(-LN(2)/25))/(LN(2)/25)*Calculateur!DB134*Calculateur!DD134*VLOOKUP('Données projet'!$B$13,Paramètres!$A$1:$I$89,3,0)*0.475*44/12</f>
        <v>0</v>
      </c>
      <c r="DH134" s="23">
        <f>EXP(-LN(2)/2)*DH133+(1-EXP(-LN(2)/2))/(LN(2)/2)*DB134*DE134*VLOOKUP('Données projet'!$B$13,Paramètres!$A$1:$I$89,3,0)*0.475*44/12</f>
        <v>0</v>
      </c>
      <c r="DI134" s="24">
        <f t="shared" si="123"/>
        <v>0</v>
      </c>
      <c r="DJ134" s="77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3.8</v>
      </c>
      <c r="DO134" s="13">
        <f>IF('Données projet'!$A$166&gt;35,DO133+DN134-DW133,IF(A134&lt;'Données projet'!$A$166,$DL$205^A134,IF(A134='Données projet'!$A$166,'Données projet'!$B$166,DO133+DN134-DW133)))</f>
        <v>306.79999999999978</v>
      </c>
      <c r="DP134" s="18">
        <f>DO134*VLOOKUP('Données projet'!$B$14,Paramètres!$A$1:$I$89,3,0)*VLOOKUP('Données projet'!$B$14,Paramètres!$A$1:$I$89,5,0)</f>
        <v>296.73695999999978</v>
      </c>
      <c r="DQ134" s="14">
        <f t="shared" si="151"/>
        <v>70.491970164645096</v>
      </c>
      <c r="DR134" s="22">
        <f t="shared" si="124"/>
        <v>639.59038670342318</v>
      </c>
      <c r="DS134" s="60">
        <f t="shared" si="125"/>
        <v>932.92372003675655</v>
      </c>
      <c r="DT134" s="60">
        <f ca="1">AVERAGE(OFFSET($DS$3,0,0,'Données projet'!$E$14+1,1))-AVERAGE(OFFSET($H$3,0,0,'Données projet'!$E$14+1,1))</f>
        <v>562.69380557620775</v>
      </c>
      <c r="DU134" s="60">
        <f t="shared" si="152"/>
        <v>294.45557293177131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>
        <f>EXP(-LN(2)/35)*EA133+(1-EXP(-LN(2)/35))/(LN(2)/35)*DW134*DX134*VLOOKUP('Données projet'!$B$14,Paramètres!$A$1:$I$89,3,0)*0.475*44/12</f>
        <v>0</v>
      </c>
      <c r="EB134" s="23">
        <f>EXP(-LN(2)/25)*EB133+(1-EXP(-LN(2)/25))/(LN(2)/25)*Calculateur!DW134*Calculateur!DY134*VLOOKUP('Données projet'!$B$14,Paramètres!$A$1:$I$89,3,0)*0.475*44/12</f>
        <v>0</v>
      </c>
      <c r="EC134" s="23">
        <f>EXP(-LN(2)/2)*EC133+(1-EXP(-LN(2)/2))/(LN(2)/2)*DW134*DZ134*VLOOKUP('Données projet'!$B$14,Paramètres!$A$1:$I$89,3,0)*0.475*44/12</f>
        <v>0</v>
      </c>
      <c r="ED134" s="24">
        <f t="shared" si="126"/>
        <v>0</v>
      </c>
      <c r="EE134" s="77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1.1368683772161603E-13</v>
      </c>
      <c r="EK134" s="18">
        <f>EJ134*VLOOKUP('Données projet'!$B$15,Paramètres!$A$1:$I$89,3,0)*VLOOKUP('Données projet'!$B$15,Paramètres!$A$1:$I$89,5,0)</f>
        <v>8.8675733422860506E-14</v>
      </c>
      <c r="EL134" s="14">
        <f t="shared" si="153"/>
        <v>1.3509285393066301E-12</v>
      </c>
      <c r="EM134" s="22">
        <f t="shared" si="127"/>
        <v>2.5073107750038623E-12</v>
      </c>
      <c r="EN134" s="60">
        <f t="shared" si="128"/>
        <v>293.33333333333582</v>
      </c>
      <c r="EO134" s="60">
        <f ca="1">AVERAGE(OFFSET($EN$3,0,0,'Données projet'!$E$15+1,1))-AVERAGE(OFFSET($H$3,0,0,'Données projet'!$E$15+1,1))</f>
        <v>292.57482726862594</v>
      </c>
      <c r="EP134" s="60">
        <f t="shared" si="154"/>
        <v>283.48738729114024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>
        <f>EXP(-LN(2)/35)*EV133+(1-EXP(-LN(2)/35))/(LN(2)/35)*ER134*ES134*VLOOKUP('Données projet'!$B$15,Paramètres!$A$1:$I$89,3,0)*0.475*44/12</f>
        <v>0</v>
      </c>
      <c r="EW134" s="23">
        <f>EXP(-LN(2)/25)*EW133+(1-EXP(-LN(2)/25))/(LN(2)/25)*Calculateur!ER134*Calculateur!ET134*VLOOKUP('Données projet'!$B$15,Paramètres!$A$1:$I$89,3,0)*0.475*44/12</f>
        <v>0</v>
      </c>
      <c r="EX134" s="23">
        <f>EXP(-LN(2)/2)*EX133+(1-EXP(-LN(2)/2))/(LN(2)/2)*ER134*EU134*VLOOKUP('Données projet'!$B$15,Paramètres!$A$1:$I$89,3,0)*0.475*44/12</f>
        <v>0</v>
      </c>
      <c r="EY134" s="24">
        <f t="shared" si="129"/>
        <v>0</v>
      </c>
      <c r="EZ134" s="77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0" t="e">
        <f t="shared" si="131"/>
        <v>#N/A</v>
      </c>
      <c r="FJ134" s="60" t="e">
        <f ca="1">AVERAGE(OFFSET($FI$3,0,0,'Données projet'!$E$16+1,1))-AVERAGE(OFFSET($H$3,0,0,'Données projet'!$E$16+1,1))</f>
        <v>#N/A</v>
      </c>
      <c r="FK134" s="60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77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0" t="e">
        <f t="shared" si="134"/>
        <v>#N/A</v>
      </c>
      <c r="GE134" s="60" t="e">
        <f ca="1">AVERAGE(OFFSET($GD$3,0,0,'Données projet'!$E$17+1,1))-AVERAGE(OFFSET($H$3,0,0,'Données projet'!$E$17+1,1))</f>
        <v>#N/A</v>
      </c>
      <c r="GF134" s="60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77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0" t="e">
        <f t="shared" si="137"/>
        <v>#N/A</v>
      </c>
      <c r="GZ134" s="60" t="e">
        <f ca="1">AVERAGE(OFFSET($GY$3,0,0,'Données projet'!$E$18+1,1))-AVERAGE(OFFSET($H$3,0,0,'Données projet'!$E$18+1,1))</f>
        <v>#N/A</v>
      </c>
      <c r="HA134" s="60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25">
      <c r="A135" s="11">
        <f t="shared" si="139"/>
        <v>132</v>
      </c>
      <c r="B135" s="74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2">
        <f t="shared" si="140"/>
        <v>0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0</v>
      </c>
      <c r="H135" s="67">
        <f t="shared" si="110"/>
        <v>256.66666666666669</v>
      </c>
      <c r="I135" s="7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1.1368683772161603E-13</v>
      </c>
      <c r="O135" s="14">
        <f>N135*VLOOKUP('Données projet'!$B$9,Paramètres!$A$1:$I$89,3,0)*VLOOKUP('Données projet'!$B$9,Paramètres!$A$1:$I$89,5,0)</f>
        <v>1.0818439477588981E-13</v>
      </c>
      <c r="P135" s="14">
        <f t="shared" si="141"/>
        <v>1.6104228458716316E-12</v>
      </c>
      <c r="Q135" s="22">
        <f t="shared" si="108"/>
        <v>2.9932409441277661E-12</v>
      </c>
      <c r="R135" s="60">
        <f t="shared" si="109"/>
        <v>293.33333333333633</v>
      </c>
      <c r="S135" s="60">
        <f ca="1">AVERAGE(OFFSET($R$3,0,0,'Données projet'!$E$9+1,1))-AVERAGE(OFFSET($H$3,0,0,'Données projet'!$E$9+1,1))</f>
        <v>403.49781966317852</v>
      </c>
      <c r="T135" s="60">
        <f t="shared" si="142"/>
        <v>326.06674572505409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0</v>
      </c>
      <c r="AA135" s="23">
        <f>EXP(-LN(2)/25)*AA134+(1-EXP(-LN(2)/25))/(LN(2)/25)*Calculateur!V135*Calculateur!X135*VLOOKUP('Données projet'!$B$9,Paramètres!$A$1:$I$89,3,0)*0.475*44/12</f>
        <v>0</v>
      </c>
      <c r="AB135" s="23">
        <f>EXP(-LN(2)/2)*AB134+(1-EXP(-LN(2)/2))/(LN(2)/2)*V135*Y135*VLOOKUP('Données projet'!$B$9,Paramètres!$A$1:$I$89,3,0)*0.475*44/12</f>
        <v>0</v>
      </c>
      <c r="AC135" s="24">
        <f t="shared" si="111"/>
        <v>0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-1.1368683772161603E-13</v>
      </c>
      <c r="AJ135" s="14">
        <f>AI135*VLOOKUP('Données projet'!$B$10,Paramètres!$A$1:$I$89,3,0)*VLOOKUP('Données projet'!$B$10,Paramètres!$A$1:$I$89,5,0)</f>
        <v>-9.9316821433603781E-14</v>
      </c>
      <c r="AK135" s="14" t="e">
        <f t="shared" si="143"/>
        <v>#NUM!</v>
      </c>
      <c r="AL135" s="22" t="e">
        <f t="shared" si="112"/>
        <v>#NUM!</v>
      </c>
      <c r="AM135" s="60" t="e">
        <f t="shared" si="113"/>
        <v>#NUM!</v>
      </c>
      <c r="AN135" s="60">
        <f ca="1">AVERAGE(OFFSET($AM$3,0,0,'Données projet'!$E$10+1,1))-AVERAGE(OFFSET($H$3,0,0,'Données projet'!$E$10+1,1))</f>
        <v>274.66236526869056</v>
      </c>
      <c r="AO135" s="60">
        <f t="shared" si="144"/>
        <v>256.90876395053073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>
        <f>EXP(-LN(2)/35)*AU134+(1-EXP(-LN(2)/35))/(LN(2)/35)*AQ135*AR135*VLOOKUP('Données projet'!$B$10,Paramètres!$A$1:$I$89,3,0)*0.475*44/12</f>
        <v>0</v>
      </c>
      <c r="AV135" s="23">
        <f>EXP(-LN(2)/25)*AV134+(1-EXP(-LN(2)/25))/(LN(2)/25)*Calculateur!AQ135*Calculateur!AS135*VLOOKUP('Données projet'!$B$10,Paramètres!$A$1:$I$89,3,0)*0.475*44/12</f>
        <v>0</v>
      </c>
      <c r="AW135" s="23">
        <f>EXP(-LN(2)/2)*AW134+(1-EXP(-LN(2)/2))/(LN(2)/2)*AQ135*AT135*VLOOKUP('Données projet'!$B$10,Paramètres!$A$1:$I$89,3,0)*0.475*44/12</f>
        <v>0</v>
      </c>
      <c r="AX135" s="23">
        <f t="shared" si="114"/>
        <v>0</v>
      </c>
      <c r="AY135" s="76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3.8</v>
      </c>
      <c r="BD135" s="13">
        <f>IF('Données projet'!$A$88&gt;35,BD134+BC135-BL134,IF(A135&lt;'Données projet'!$A$88,$BA$205^A135,IF(A135='Données projet'!$A$88,'Données projet'!$B$88,BD134+BC135-BL134)))</f>
        <v>310.5999999999998</v>
      </c>
      <c r="BE135" s="14">
        <f>BD135*VLOOKUP('Données projet'!$B$11,Paramètres!$A$1:$I$89,3,0)*VLOOKUP('Données projet'!$B$11,Paramètres!$A$1:$I$89,5,0)</f>
        <v>281.03087999999985</v>
      </c>
      <c r="BF135" s="14">
        <f t="shared" si="145"/>
        <v>67.184816842275467</v>
      </c>
      <c r="BG135" s="22">
        <f t="shared" si="115"/>
        <v>606.47567200029607</v>
      </c>
      <c r="BH135" s="60">
        <f t="shared" si="116"/>
        <v>899.80900533362933</v>
      </c>
      <c r="BI135" s="60">
        <f ca="1">AVERAGE(OFFSET($BH$3,0,0,'Données projet'!$E$11+1,1))-AVERAGE(OFFSET($H$3,0,0,'Données projet'!$E$11+1,1))</f>
        <v>529.25712986118265</v>
      </c>
      <c r="BJ135" s="60">
        <f t="shared" si="146"/>
        <v>278.21741231699929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>
        <f>EXP(-LN(2)/35)*BP134+(1-EXP(-LN(2)/35))/(LN(2)/35)*BL135*BM135*VLOOKUP('Données projet'!$B$11,Paramètres!$A$1:$I$89,3,0)*0.475*44/12</f>
        <v>0</v>
      </c>
      <c r="BQ135" s="23">
        <f>EXP(-LN(2)/25)*BQ134+(1-EXP(-LN(2)/25))/(LN(2)/25)*Calculateur!BL135*Calculateur!BN135*VLOOKUP('Données projet'!$B$11,Paramètres!$A$1:$I$89,3,0)*0.475*44/12</f>
        <v>0</v>
      </c>
      <c r="BR135" s="23">
        <f>EXP(-LN(2)/2)*BR134+(1-EXP(-LN(2)/2))/(LN(2)/2)*BL135*BO135*VLOOKUP('Données projet'!$B$11,Paramètres!$A$1:$I$89,3,0)*0.475*44/12</f>
        <v>0</v>
      </c>
      <c r="BS135" s="24">
        <f t="shared" si="117"/>
        <v>0</v>
      </c>
      <c r="BT135" s="77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3.8</v>
      </c>
      <c r="BY135" s="13">
        <f>IF('Données projet'!$A$114&gt;35,BY134+BX135-CG134,IF(A135&lt;'Données projet'!$A$114,$BV$205^A135,IF(A135='Données projet'!$A$114,'Données projet'!$B$114,BY134+BX135-CG134)))</f>
        <v>310.5999999999998</v>
      </c>
      <c r="BZ135" s="14">
        <f>BY135*VLOOKUP('Données projet'!$B$12,Paramètres!$A$1:$I$89,3,0)*VLOOKUP('Données projet'!$B$12,Paramètres!$A$1:$I$89,5,0)</f>
        <v>314.94839999999982</v>
      </c>
      <c r="CA135" s="14">
        <f t="shared" si="147"/>
        <v>74.301298626081149</v>
      </c>
      <c r="CB135" s="22">
        <f t="shared" si="118"/>
        <v>677.94322510709105</v>
      </c>
      <c r="CC135" s="60">
        <f t="shared" si="119"/>
        <v>971.27655844042442</v>
      </c>
      <c r="CD135" s="60">
        <f ca="1">AVERAGE(OFFSET($CC$3,0,0,'Données projet'!$E$12+1,1))-AVERAGE(OFFSET($H$3,0,0,'Données projet'!$E$12+1,1))</f>
        <v>587.74247372331615</v>
      </c>
      <c r="CE135" s="60">
        <f t="shared" si="148"/>
        <v>306.61893266146666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>
        <f>EXP(-LN(2)/35)*CK134+(1-EXP(-LN(2)/35))/(LN(2)/35)*CG135*CH135*VLOOKUP('Données projet'!$B$12,Paramètres!$A$1:$I$89,3,0)*0.475*44/12</f>
        <v>0</v>
      </c>
      <c r="CL135" s="23">
        <f>EXP(-LN(2)/25)*CL134+(1-EXP(-LN(2)/25))/(LN(2)/25)*Calculateur!CG135*Calculateur!CI135*VLOOKUP('Données projet'!$B$12,Paramètres!$A$1:$I$89,3,0)*0.475*44/12</f>
        <v>0</v>
      </c>
      <c r="CM135" s="23">
        <f>EXP(-LN(2)/2)*CM134+(1-EXP(-LN(2)/2))/(LN(2)/2)*CG135*CJ135*VLOOKUP('Données projet'!$B$12,Paramètres!$A$1:$I$89,3,0)*0.475*44/12</f>
        <v>0</v>
      </c>
      <c r="CN135" s="24">
        <f t="shared" si="120"/>
        <v>0</v>
      </c>
      <c r="CO135" s="77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3.8</v>
      </c>
      <c r="CT135" s="13">
        <f>IF('Données projet'!$A$140&gt;35,CT134+CS135-DB134,IF(A135&lt;'Données projet'!$A$140,$CQ$205^A135,IF(A135='Données projet'!$A$140,'Données projet'!$B$140,CT134+CS135-DB134)))</f>
        <v>310.5999999999998</v>
      </c>
      <c r="CU135" s="18">
        <f>CT135*VLOOKUP('Données projet'!$B$13,Paramètres!$A$1:$I$89,3,0)*VLOOKUP('Données projet'!$B$13,Paramètres!$A$1:$I$89,5,0)</f>
        <v>334.32983999999976</v>
      </c>
      <c r="CV135" s="14">
        <f t="shared" si="149"/>
        <v>78.327311299804165</v>
      </c>
      <c r="CW135" s="22">
        <f t="shared" si="121"/>
        <v>718.71120518049167</v>
      </c>
      <c r="CX135" s="60">
        <f t="shared" si="122"/>
        <v>1012.044538513825</v>
      </c>
      <c r="CY135" s="60">
        <f ca="1">AVERAGE(OFFSET($CX$3,0,0,'Données projet'!$E$13+1,1))-AVERAGE(OFFSET($H$3,0,0,'Données projet'!$E$13+1,1))</f>
        <v>621.10465023992288</v>
      </c>
      <c r="CZ135" s="60">
        <f t="shared" si="150"/>
        <v>322.81767004794284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>
        <f>EXP(-LN(2)/35)*DF134+(1-EXP(-LN(2)/35))/(LN(2)/35)*DB135*DC135*VLOOKUP('Données projet'!$B$13,Paramètres!$A$1:$I$89,3,0)*0.475*44/12</f>
        <v>0</v>
      </c>
      <c r="DG135" s="23">
        <f>EXP(-LN(2)/25)*DG134+(1-EXP(-LN(2)/25))/(LN(2)/25)*Calculateur!DB135*Calculateur!DD135*VLOOKUP('Données projet'!$B$13,Paramètres!$A$1:$I$89,3,0)*0.475*44/12</f>
        <v>0</v>
      </c>
      <c r="DH135" s="23">
        <f>EXP(-LN(2)/2)*DH134+(1-EXP(-LN(2)/2))/(LN(2)/2)*DB135*DE135*VLOOKUP('Données projet'!$B$13,Paramètres!$A$1:$I$89,3,0)*0.475*44/12</f>
        <v>0</v>
      </c>
      <c r="DI135" s="24">
        <f t="shared" si="123"/>
        <v>0</v>
      </c>
      <c r="DJ135" s="77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3.8</v>
      </c>
      <c r="DO135" s="13">
        <f>IF('Données projet'!$A$166&gt;35,DO134+DN135-DW134,IF(A135&lt;'Données projet'!$A$166,$DL$205^A135,IF(A135='Données projet'!$A$166,'Données projet'!$B$166,DO134+DN135-DW134)))</f>
        <v>310.5999999999998</v>
      </c>
      <c r="DP135" s="18">
        <f>DO135*VLOOKUP('Données projet'!$B$14,Paramètres!$A$1:$I$89,3,0)*VLOOKUP('Données projet'!$B$14,Paramètres!$A$1:$I$89,5,0)</f>
        <v>300.4123199999998</v>
      </c>
      <c r="DQ135" s="14">
        <f t="shared" si="151"/>
        <v>71.262894674416614</v>
      </c>
      <c r="DR135" s="22">
        <f t="shared" si="124"/>
        <v>647.33433222460849</v>
      </c>
      <c r="DS135" s="60">
        <f t="shared" si="125"/>
        <v>940.66766555794175</v>
      </c>
      <c r="DT135" s="60">
        <f ca="1">AVERAGE(OFFSET($DS$3,0,0,'Données projet'!$E$14+1,1))-AVERAGE(OFFSET($H$3,0,0,'Données projet'!$E$14+1,1))</f>
        <v>562.69380557620775</v>
      </c>
      <c r="DU135" s="60">
        <f t="shared" si="152"/>
        <v>294.45557293177131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>
        <f>EXP(-LN(2)/35)*EA134+(1-EXP(-LN(2)/35))/(LN(2)/35)*DW135*DX135*VLOOKUP('Données projet'!$B$14,Paramètres!$A$1:$I$89,3,0)*0.475*44/12</f>
        <v>0</v>
      </c>
      <c r="EB135" s="23">
        <f>EXP(-LN(2)/25)*EB134+(1-EXP(-LN(2)/25))/(LN(2)/25)*Calculateur!DW135*Calculateur!DY135*VLOOKUP('Données projet'!$B$14,Paramètres!$A$1:$I$89,3,0)*0.475*44/12</f>
        <v>0</v>
      </c>
      <c r="EC135" s="23">
        <f>EXP(-LN(2)/2)*EC134+(1-EXP(-LN(2)/2))/(LN(2)/2)*DW135*DZ135*VLOOKUP('Données projet'!$B$14,Paramètres!$A$1:$I$89,3,0)*0.475*44/12</f>
        <v>0</v>
      </c>
      <c r="ED135" s="24">
        <f t="shared" si="126"/>
        <v>0</v>
      </c>
      <c r="EE135" s="77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1.1368683772161603E-13</v>
      </c>
      <c r="EK135" s="18">
        <f>EJ135*VLOOKUP('Données projet'!$B$15,Paramètres!$A$1:$I$89,3,0)*VLOOKUP('Données projet'!$B$15,Paramètres!$A$1:$I$89,5,0)</f>
        <v>8.8675733422860506E-14</v>
      </c>
      <c r="EL135" s="14">
        <f t="shared" si="153"/>
        <v>1.3509285393066301E-12</v>
      </c>
      <c r="EM135" s="22">
        <f t="shared" si="127"/>
        <v>2.5073107750038623E-12</v>
      </c>
      <c r="EN135" s="60">
        <f t="shared" si="128"/>
        <v>293.33333333333582</v>
      </c>
      <c r="EO135" s="60">
        <f ca="1">AVERAGE(OFFSET($EN$3,0,0,'Données projet'!$E$15+1,1))-AVERAGE(OFFSET($H$3,0,0,'Données projet'!$E$15+1,1))</f>
        <v>292.57482726862594</v>
      </c>
      <c r="EP135" s="60">
        <f t="shared" si="154"/>
        <v>283.48738729114024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>
        <f>EXP(-LN(2)/35)*EV134+(1-EXP(-LN(2)/35))/(LN(2)/35)*ER135*ES135*VLOOKUP('Données projet'!$B$15,Paramètres!$A$1:$I$89,3,0)*0.475*44/12</f>
        <v>0</v>
      </c>
      <c r="EW135" s="23">
        <f>EXP(-LN(2)/25)*EW134+(1-EXP(-LN(2)/25))/(LN(2)/25)*Calculateur!ER135*Calculateur!ET135*VLOOKUP('Données projet'!$B$15,Paramètres!$A$1:$I$89,3,0)*0.475*44/12</f>
        <v>0</v>
      </c>
      <c r="EX135" s="23">
        <f>EXP(-LN(2)/2)*EX134+(1-EXP(-LN(2)/2))/(LN(2)/2)*ER135*EU135*VLOOKUP('Données projet'!$B$15,Paramètres!$A$1:$I$89,3,0)*0.475*44/12</f>
        <v>0</v>
      </c>
      <c r="EY135" s="24">
        <f t="shared" si="129"/>
        <v>0</v>
      </c>
      <c r="EZ135" s="77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0" t="e">
        <f t="shared" si="131"/>
        <v>#N/A</v>
      </c>
      <c r="FJ135" s="60" t="e">
        <f ca="1">AVERAGE(OFFSET($FI$3,0,0,'Données projet'!$E$16+1,1))-AVERAGE(OFFSET($H$3,0,0,'Données projet'!$E$16+1,1))</f>
        <v>#N/A</v>
      </c>
      <c r="FK135" s="60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77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0" t="e">
        <f t="shared" si="134"/>
        <v>#N/A</v>
      </c>
      <c r="GE135" s="60" t="e">
        <f ca="1">AVERAGE(OFFSET($GD$3,0,0,'Données projet'!$E$17+1,1))-AVERAGE(OFFSET($H$3,0,0,'Données projet'!$E$17+1,1))</f>
        <v>#N/A</v>
      </c>
      <c r="GF135" s="60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77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0" t="e">
        <f t="shared" si="137"/>
        <v>#N/A</v>
      </c>
      <c r="GZ135" s="60" t="e">
        <f ca="1">AVERAGE(OFFSET($GY$3,0,0,'Données projet'!$E$18+1,1))-AVERAGE(OFFSET($H$3,0,0,'Données projet'!$E$18+1,1))</f>
        <v>#N/A</v>
      </c>
      <c r="HA135" s="60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25">
      <c r="A136" s="11">
        <f t="shared" si="139"/>
        <v>133</v>
      </c>
      <c r="B136" s="74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2">
        <f t="shared" si="140"/>
        <v>0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0</v>
      </c>
      <c r="H136" s="67">
        <f t="shared" si="110"/>
        <v>256.66666666666669</v>
      </c>
      <c r="I136" s="7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1.1368683772161603E-13</v>
      </c>
      <c r="O136" s="14">
        <f>N136*VLOOKUP('Données projet'!$B$9,Paramètres!$A$1:$I$89,3,0)*VLOOKUP('Données projet'!$B$9,Paramètres!$A$1:$I$89,5,0)</f>
        <v>1.0818439477588981E-13</v>
      </c>
      <c r="P136" s="14">
        <f t="shared" si="141"/>
        <v>1.6104228458716316E-12</v>
      </c>
      <c r="Q136" s="22">
        <f t="shared" si="108"/>
        <v>2.9932409441277661E-12</v>
      </c>
      <c r="R136" s="60">
        <f t="shared" si="109"/>
        <v>293.33333333333633</v>
      </c>
      <c r="S136" s="60">
        <f ca="1">AVERAGE(OFFSET($R$3,0,0,'Données projet'!$E$9+1,1))-AVERAGE(OFFSET($H$3,0,0,'Données projet'!$E$9+1,1))</f>
        <v>403.49781966317852</v>
      </c>
      <c r="T136" s="60">
        <f t="shared" si="142"/>
        <v>326.06674572505409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0</v>
      </c>
      <c r="AA136" s="23">
        <f>EXP(-LN(2)/25)*AA135+(1-EXP(-LN(2)/25))/(LN(2)/25)*Calculateur!V136*Calculateur!X136*VLOOKUP('Données projet'!$B$9,Paramètres!$A$1:$I$89,3,0)*0.475*44/12</f>
        <v>0</v>
      </c>
      <c r="AB136" s="23">
        <f>EXP(-LN(2)/2)*AB135+(1-EXP(-LN(2)/2))/(LN(2)/2)*V136*Y136*VLOOKUP('Données projet'!$B$9,Paramètres!$A$1:$I$89,3,0)*0.475*44/12</f>
        <v>0</v>
      </c>
      <c r="AC136" s="24">
        <f t="shared" si="111"/>
        <v>0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-1.1368683772161603E-13</v>
      </c>
      <c r="AJ136" s="14">
        <f>AI136*VLOOKUP('Données projet'!$B$10,Paramètres!$A$1:$I$89,3,0)*VLOOKUP('Données projet'!$B$10,Paramètres!$A$1:$I$89,5,0)</f>
        <v>-9.9316821433603781E-14</v>
      </c>
      <c r="AK136" s="14" t="e">
        <f t="shared" si="143"/>
        <v>#NUM!</v>
      </c>
      <c r="AL136" s="22" t="e">
        <f t="shared" si="112"/>
        <v>#NUM!</v>
      </c>
      <c r="AM136" s="60" t="e">
        <f t="shared" si="113"/>
        <v>#NUM!</v>
      </c>
      <c r="AN136" s="60">
        <f ca="1">AVERAGE(OFFSET($AM$3,0,0,'Données projet'!$E$10+1,1))-AVERAGE(OFFSET($H$3,0,0,'Données projet'!$E$10+1,1))</f>
        <v>274.66236526869056</v>
      </c>
      <c r="AO136" s="60">
        <f t="shared" si="144"/>
        <v>256.90876395053073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>
        <f>EXP(-LN(2)/35)*AU135+(1-EXP(-LN(2)/35))/(LN(2)/35)*AQ136*AR136*VLOOKUP('Données projet'!$B$10,Paramètres!$A$1:$I$89,3,0)*0.475*44/12</f>
        <v>0</v>
      </c>
      <c r="AV136" s="23">
        <f>EXP(-LN(2)/25)*AV135+(1-EXP(-LN(2)/25))/(LN(2)/25)*Calculateur!AQ136*Calculateur!AS136*VLOOKUP('Données projet'!$B$10,Paramètres!$A$1:$I$89,3,0)*0.475*44/12</f>
        <v>0</v>
      </c>
      <c r="AW136" s="23">
        <f>EXP(-LN(2)/2)*AW135+(1-EXP(-LN(2)/2))/(LN(2)/2)*AQ136*AT136*VLOOKUP('Données projet'!$B$10,Paramètres!$A$1:$I$89,3,0)*0.475*44/12</f>
        <v>0</v>
      </c>
      <c r="AX136" s="23">
        <f t="shared" si="114"/>
        <v>0</v>
      </c>
      <c r="AY136" s="76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3.8</v>
      </c>
      <c r="BD136" s="13">
        <f>IF('Données projet'!$A$88&gt;35,BD135+BC136-BL135,IF(A136&lt;'Données projet'!$A$88,$BA$205^A136,IF(A136='Données projet'!$A$88,'Données projet'!$B$88,BD135+BC136-BL135)))</f>
        <v>314.39999999999981</v>
      </c>
      <c r="BE136" s="14">
        <f>BD136*VLOOKUP('Données projet'!$B$11,Paramètres!$A$1:$I$89,3,0)*VLOOKUP('Données projet'!$B$11,Paramètres!$A$1:$I$89,5,0)</f>
        <v>284.4691199999998</v>
      </c>
      <c r="BF136" s="14">
        <f t="shared" si="145"/>
        <v>67.910590237378983</v>
      </c>
      <c r="BG136" s="22">
        <f t="shared" si="115"/>
        <v>613.72799533010129</v>
      </c>
      <c r="BH136" s="60">
        <f t="shared" si="116"/>
        <v>907.06132866343455</v>
      </c>
      <c r="BI136" s="60">
        <f ca="1">AVERAGE(OFFSET($BH$3,0,0,'Données projet'!$E$11+1,1))-AVERAGE(OFFSET($H$3,0,0,'Données projet'!$E$11+1,1))</f>
        <v>529.25712986118265</v>
      </c>
      <c r="BJ136" s="60">
        <f t="shared" si="146"/>
        <v>278.21741231699929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>
        <f>EXP(-LN(2)/35)*BP135+(1-EXP(-LN(2)/35))/(LN(2)/35)*BL136*BM136*VLOOKUP('Données projet'!$B$11,Paramètres!$A$1:$I$89,3,0)*0.475*44/12</f>
        <v>0</v>
      </c>
      <c r="BQ136" s="23">
        <f>EXP(-LN(2)/25)*BQ135+(1-EXP(-LN(2)/25))/(LN(2)/25)*Calculateur!BL136*Calculateur!BN136*VLOOKUP('Données projet'!$B$11,Paramètres!$A$1:$I$89,3,0)*0.475*44/12</f>
        <v>0</v>
      </c>
      <c r="BR136" s="23">
        <f>EXP(-LN(2)/2)*BR135+(1-EXP(-LN(2)/2))/(LN(2)/2)*BL136*BO136*VLOOKUP('Données projet'!$B$11,Paramètres!$A$1:$I$89,3,0)*0.475*44/12</f>
        <v>0</v>
      </c>
      <c r="BS136" s="24">
        <f t="shared" si="117"/>
        <v>0</v>
      </c>
      <c r="BT136" s="77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3.8</v>
      </c>
      <c r="BY136" s="13">
        <f>IF('Données projet'!$A$114&gt;35,BY135+BX136-CG135,IF(A136&lt;'Données projet'!$A$114,$BV$205^A136,IF(A136='Données projet'!$A$114,'Données projet'!$B$114,BY135+BX136-CG135)))</f>
        <v>314.39999999999981</v>
      </c>
      <c r="BZ136" s="14">
        <f>BY136*VLOOKUP('Données projet'!$B$12,Paramètres!$A$1:$I$89,3,0)*VLOOKUP('Données projet'!$B$12,Paramètres!$A$1:$I$89,5,0)</f>
        <v>318.80159999999984</v>
      </c>
      <c r="CA136" s="14">
        <f t="shared" si="147"/>
        <v>75.103948812522063</v>
      </c>
      <c r="CB136" s="22">
        <f t="shared" si="118"/>
        <v>686.05216418180896</v>
      </c>
      <c r="CC136" s="60">
        <f t="shared" si="119"/>
        <v>979.38549751514233</v>
      </c>
      <c r="CD136" s="60">
        <f ca="1">AVERAGE(OFFSET($CC$3,0,0,'Données projet'!$E$12+1,1))-AVERAGE(OFFSET($H$3,0,0,'Données projet'!$E$12+1,1))</f>
        <v>587.74247372331615</v>
      </c>
      <c r="CE136" s="60">
        <f t="shared" si="148"/>
        <v>306.61893266146666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>
        <f>EXP(-LN(2)/35)*CK135+(1-EXP(-LN(2)/35))/(LN(2)/35)*CG136*CH136*VLOOKUP('Données projet'!$B$12,Paramètres!$A$1:$I$89,3,0)*0.475*44/12</f>
        <v>0</v>
      </c>
      <c r="CL136" s="23">
        <f>EXP(-LN(2)/25)*CL135+(1-EXP(-LN(2)/25))/(LN(2)/25)*Calculateur!CG136*Calculateur!CI136*VLOOKUP('Données projet'!$B$12,Paramètres!$A$1:$I$89,3,0)*0.475*44/12</f>
        <v>0</v>
      </c>
      <c r="CM136" s="23">
        <f>EXP(-LN(2)/2)*CM135+(1-EXP(-LN(2)/2))/(LN(2)/2)*CG136*CJ136*VLOOKUP('Données projet'!$B$12,Paramètres!$A$1:$I$89,3,0)*0.475*44/12</f>
        <v>0</v>
      </c>
      <c r="CN136" s="24">
        <f t="shared" si="120"/>
        <v>0</v>
      </c>
      <c r="CO136" s="77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3.8</v>
      </c>
      <c r="CT136" s="13">
        <f>IF('Données projet'!$A$140&gt;35,CT135+CS136-DB135,IF(A136&lt;'Données projet'!$A$140,$CQ$205^A136,IF(A136='Données projet'!$A$140,'Données projet'!$B$140,CT135+CS136-DB135)))</f>
        <v>314.39999999999981</v>
      </c>
      <c r="CU136" s="18">
        <f>CT136*VLOOKUP('Données projet'!$B$13,Paramètres!$A$1:$I$89,3,0)*VLOOKUP('Données projet'!$B$13,Paramètres!$A$1:$I$89,5,0)</f>
        <v>338.42015999999978</v>
      </c>
      <c r="CV136" s="14">
        <f t="shared" si="149"/>
        <v>79.173453052111782</v>
      </c>
      <c r="CW136" s="22">
        <f t="shared" si="121"/>
        <v>727.30887606576096</v>
      </c>
      <c r="CX136" s="60">
        <f t="shared" si="122"/>
        <v>1020.6422093990943</v>
      </c>
      <c r="CY136" s="60">
        <f ca="1">AVERAGE(OFFSET($CX$3,0,0,'Données projet'!$E$13+1,1))-AVERAGE(OFFSET($H$3,0,0,'Données projet'!$E$13+1,1))</f>
        <v>621.10465023992288</v>
      </c>
      <c r="CZ136" s="60">
        <f t="shared" si="150"/>
        <v>322.81767004794284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>
        <f>EXP(-LN(2)/35)*DF135+(1-EXP(-LN(2)/35))/(LN(2)/35)*DB136*DC136*VLOOKUP('Données projet'!$B$13,Paramètres!$A$1:$I$89,3,0)*0.475*44/12</f>
        <v>0</v>
      </c>
      <c r="DG136" s="23">
        <f>EXP(-LN(2)/25)*DG135+(1-EXP(-LN(2)/25))/(LN(2)/25)*Calculateur!DB136*Calculateur!DD136*VLOOKUP('Données projet'!$B$13,Paramètres!$A$1:$I$89,3,0)*0.475*44/12</f>
        <v>0</v>
      </c>
      <c r="DH136" s="23">
        <f>EXP(-LN(2)/2)*DH135+(1-EXP(-LN(2)/2))/(LN(2)/2)*DB136*DE136*VLOOKUP('Données projet'!$B$13,Paramètres!$A$1:$I$89,3,0)*0.475*44/12</f>
        <v>0</v>
      </c>
      <c r="DI136" s="24">
        <f t="shared" si="123"/>
        <v>0</v>
      </c>
      <c r="DJ136" s="77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3.8</v>
      </c>
      <c r="DO136" s="13">
        <f>IF('Données projet'!$A$166&gt;35,DO135+DN136-DW135,IF(A136&lt;'Données projet'!$A$166,$DL$205^A136,IF(A136='Données projet'!$A$166,'Données projet'!$B$166,DO135+DN136-DW135)))</f>
        <v>314.39999999999981</v>
      </c>
      <c r="DP136" s="18">
        <f>DO136*VLOOKUP('Données projet'!$B$14,Paramètres!$A$1:$I$89,3,0)*VLOOKUP('Données projet'!$B$14,Paramètres!$A$1:$I$89,5,0)</f>
        <v>304.08767999999981</v>
      </c>
      <c r="DQ136" s="14">
        <f t="shared" si="151"/>
        <v>72.032722076553924</v>
      </c>
      <c r="DR136" s="22">
        <f t="shared" si="124"/>
        <v>655.07636694999781</v>
      </c>
      <c r="DS136" s="60">
        <f t="shared" si="125"/>
        <v>948.40970028333118</v>
      </c>
      <c r="DT136" s="60">
        <f ca="1">AVERAGE(OFFSET($DS$3,0,0,'Données projet'!$E$14+1,1))-AVERAGE(OFFSET($H$3,0,0,'Données projet'!$E$14+1,1))</f>
        <v>562.69380557620775</v>
      </c>
      <c r="DU136" s="60">
        <f t="shared" si="152"/>
        <v>294.45557293177131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>
        <f>EXP(-LN(2)/35)*EA135+(1-EXP(-LN(2)/35))/(LN(2)/35)*DW136*DX136*VLOOKUP('Données projet'!$B$14,Paramètres!$A$1:$I$89,3,0)*0.475*44/12</f>
        <v>0</v>
      </c>
      <c r="EB136" s="23">
        <f>EXP(-LN(2)/25)*EB135+(1-EXP(-LN(2)/25))/(LN(2)/25)*Calculateur!DW136*Calculateur!DY136*VLOOKUP('Données projet'!$B$14,Paramètres!$A$1:$I$89,3,0)*0.475*44/12</f>
        <v>0</v>
      </c>
      <c r="EC136" s="23">
        <f>EXP(-LN(2)/2)*EC135+(1-EXP(-LN(2)/2))/(LN(2)/2)*DW136*DZ136*VLOOKUP('Données projet'!$B$14,Paramètres!$A$1:$I$89,3,0)*0.475*44/12</f>
        <v>0</v>
      </c>
      <c r="ED136" s="24">
        <f t="shared" si="126"/>
        <v>0</v>
      </c>
      <c r="EE136" s="77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1.1368683772161603E-13</v>
      </c>
      <c r="EK136" s="18">
        <f>EJ136*VLOOKUP('Données projet'!$B$15,Paramètres!$A$1:$I$89,3,0)*VLOOKUP('Données projet'!$B$15,Paramètres!$A$1:$I$89,5,0)</f>
        <v>8.8675733422860506E-14</v>
      </c>
      <c r="EL136" s="14">
        <f t="shared" si="153"/>
        <v>1.3509285393066301E-12</v>
      </c>
      <c r="EM136" s="22">
        <f t="shared" si="127"/>
        <v>2.5073107750038623E-12</v>
      </c>
      <c r="EN136" s="60">
        <f t="shared" si="128"/>
        <v>293.33333333333582</v>
      </c>
      <c r="EO136" s="60">
        <f ca="1">AVERAGE(OFFSET($EN$3,0,0,'Données projet'!$E$15+1,1))-AVERAGE(OFFSET($H$3,0,0,'Données projet'!$E$15+1,1))</f>
        <v>292.57482726862594</v>
      </c>
      <c r="EP136" s="60">
        <f t="shared" si="154"/>
        <v>283.48738729114024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>
        <f>EXP(-LN(2)/35)*EV135+(1-EXP(-LN(2)/35))/(LN(2)/35)*ER136*ES136*VLOOKUP('Données projet'!$B$15,Paramètres!$A$1:$I$89,3,0)*0.475*44/12</f>
        <v>0</v>
      </c>
      <c r="EW136" s="23">
        <f>EXP(-LN(2)/25)*EW135+(1-EXP(-LN(2)/25))/(LN(2)/25)*Calculateur!ER136*Calculateur!ET136*VLOOKUP('Données projet'!$B$15,Paramètres!$A$1:$I$89,3,0)*0.475*44/12</f>
        <v>0</v>
      </c>
      <c r="EX136" s="23">
        <f>EXP(-LN(2)/2)*EX135+(1-EXP(-LN(2)/2))/(LN(2)/2)*ER136*EU136*VLOOKUP('Données projet'!$B$15,Paramètres!$A$1:$I$89,3,0)*0.475*44/12</f>
        <v>0</v>
      </c>
      <c r="EY136" s="24">
        <f t="shared" si="129"/>
        <v>0</v>
      </c>
      <c r="EZ136" s="77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0" t="e">
        <f t="shared" si="131"/>
        <v>#N/A</v>
      </c>
      <c r="FJ136" s="60" t="e">
        <f ca="1">AVERAGE(OFFSET($FI$3,0,0,'Données projet'!$E$16+1,1))-AVERAGE(OFFSET($H$3,0,0,'Données projet'!$E$16+1,1))</f>
        <v>#N/A</v>
      </c>
      <c r="FK136" s="60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77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0" t="e">
        <f t="shared" si="134"/>
        <v>#N/A</v>
      </c>
      <c r="GE136" s="60" t="e">
        <f ca="1">AVERAGE(OFFSET($GD$3,0,0,'Données projet'!$E$17+1,1))-AVERAGE(OFFSET($H$3,0,0,'Données projet'!$E$17+1,1))</f>
        <v>#N/A</v>
      </c>
      <c r="GF136" s="60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77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0" t="e">
        <f t="shared" si="137"/>
        <v>#N/A</v>
      </c>
      <c r="GZ136" s="60" t="e">
        <f ca="1">AVERAGE(OFFSET($GY$3,0,0,'Données projet'!$E$18+1,1))-AVERAGE(OFFSET($H$3,0,0,'Données projet'!$E$18+1,1))</f>
        <v>#N/A</v>
      </c>
      <c r="HA136" s="60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25">
      <c r="A137" s="11">
        <f t="shared" si="139"/>
        <v>134</v>
      </c>
      <c r="B137" s="74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2">
        <f t="shared" si="140"/>
        <v>0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0</v>
      </c>
      <c r="H137" s="67">
        <f t="shared" si="110"/>
        <v>256.66666666666669</v>
      </c>
      <c r="I137" s="7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1.1368683772161603E-13</v>
      </c>
      <c r="O137" s="14">
        <f>N137*VLOOKUP('Données projet'!$B$9,Paramètres!$A$1:$I$89,3,0)*VLOOKUP('Données projet'!$B$9,Paramètres!$A$1:$I$89,5,0)</f>
        <v>1.0818439477588981E-13</v>
      </c>
      <c r="P137" s="14">
        <f t="shared" si="141"/>
        <v>1.6104228458716316E-12</v>
      </c>
      <c r="Q137" s="22">
        <f t="shared" si="108"/>
        <v>2.9932409441277661E-12</v>
      </c>
      <c r="R137" s="60">
        <f t="shared" si="109"/>
        <v>293.33333333333633</v>
      </c>
      <c r="S137" s="60">
        <f ca="1">AVERAGE(OFFSET($R$3,0,0,'Données projet'!$E$9+1,1))-AVERAGE(OFFSET($H$3,0,0,'Données projet'!$E$9+1,1))</f>
        <v>403.49781966317852</v>
      </c>
      <c r="T137" s="60">
        <f t="shared" si="142"/>
        <v>326.06674572505409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0</v>
      </c>
      <c r="AA137" s="23">
        <f>EXP(-LN(2)/25)*AA136+(1-EXP(-LN(2)/25))/(LN(2)/25)*Calculateur!V137*Calculateur!X137*VLOOKUP('Données projet'!$B$9,Paramètres!$A$1:$I$89,3,0)*0.475*44/12</f>
        <v>0</v>
      </c>
      <c r="AB137" s="23">
        <f>EXP(-LN(2)/2)*AB136+(1-EXP(-LN(2)/2))/(LN(2)/2)*V137*Y137*VLOOKUP('Données projet'!$B$9,Paramètres!$A$1:$I$89,3,0)*0.475*44/12</f>
        <v>0</v>
      </c>
      <c r="AC137" s="24">
        <f t="shared" si="111"/>
        <v>0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-1.1368683772161603E-13</v>
      </c>
      <c r="AJ137" s="14">
        <f>AI137*VLOOKUP('Données projet'!$B$10,Paramètres!$A$1:$I$89,3,0)*VLOOKUP('Données projet'!$B$10,Paramètres!$A$1:$I$89,5,0)</f>
        <v>-9.9316821433603781E-14</v>
      </c>
      <c r="AK137" s="14" t="e">
        <f t="shared" si="143"/>
        <v>#NUM!</v>
      </c>
      <c r="AL137" s="22" t="e">
        <f t="shared" si="112"/>
        <v>#NUM!</v>
      </c>
      <c r="AM137" s="60" t="e">
        <f t="shared" si="113"/>
        <v>#NUM!</v>
      </c>
      <c r="AN137" s="60">
        <f ca="1">AVERAGE(OFFSET($AM$3,0,0,'Données projet'!$E$10+1,1))-AVERAGE(OFFSET($H$3,0,0,'Données projet'!$E$10+1,1))</f>
        <v>274.66236526869056</v>
      </c>
      <c r="AO137" s="60">
        <f t="shared" si="144"/>
        <v>256.90876395053073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>
        <f>EXP(-LN(2)/35)*AU136+(1-EXP(-LN(2)/35))/(LN(2)/35)*AQ137*AR137*VLOOKUP('Données projet'!$B$10,Paramètres!$A$1:$I$89,3,0)*0.475*44/12</f>
        <v>0</v>
      </c>
      <c r="AV137" s="23">
        <f>EXP(-LN(2)/25)*AV136+(1-EXP(-LN(2)/25))/(LN(2)/25)*Calculateur!AQ137*Calculateur!AS137*VLOOKUP('Données projet'!$B$10,Paramètres!$A$1:$I$89,3,0)*0.475*44/12</f>
        <v>0</v>
      </c>
      <c r="AW137" s="23">
        <f>EXP(-LN(2)/2)*AW136+(1-EXP(-LN(2)/2))/(LN(2)/2)*AQ137*AT137*VLOOKUP('Données projet'!$B$10,Paramètres!$A$1:$I$89,3,0)*0.475*44/12</f>
        <v>0</v>
      </c>
      <c r="AX137" s="23">
        <f t="shared" si="114"/>
        <v>0</v>
      </c>
      <c r="AY137" s="76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3.8</v>
      </c>
      <c r="BD137" s="13">
        <f>IF('Données projet'!$A$88&gt;35,BD136+BC137-BL136,IF(A137&lt;'Données projet'!$A$88,$BA$205^A137,IF(A137='Données projet'!$A$88,'Données projet'!$B$88,BD136+BC137-BL136)))</f>
        <v>318.19999999999982</v>
      </c>
      <c r="BE137" s="14">
        <f>BD137*VLOOKUP('Données projet'!$B$11,Paramètres!$A$1:$I$89,3,0)*VLOOKUP('Données projet'!$B$11,Paramètres!$A$1:$I$89,5,0)</f>
        <v>287.90735999999981</v>
      </c>
      <c r="BF137" s="14">
        <f t="shared" si="145"/>
        <v>68.635343255147305</v>
      </c>
      <c r="BG137" s="22">
        <f t="shared" si="115"/>
        <v>620.97854150271451</v>
      </c>
      <c r="BH137" s="60">
        <f t="shared" si="116"/>
        <v>914.31187483604776</v>
      </c>
      <c r="BI137" s="60">
        <f ca="1">AVERAGE(OFFSET($BH$3,0,0,'Données projet'!$E$11+1,1))-AVERAGE(OFFSET($H$3,0,0,'Données projet'!$E$11+1,1))</f>
        <v>529.25712986118265</v>
      </c>
      <c r="BJ137" s="60">
        <f t="shared" si="146"/>
        <v>278.21741231699929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>
        <f>EXP(-LN(2)/35)*BP136+(1-EXP(-LN(2)/35))/(LN(2)/35)*BL137*BM137*VLOOKUP('Données projet'!$B$11,Paramètres!$A$1:$I$89,3,0)*0.475*44/12</f>
        <v>0</v>
      </c>
      <c r="BQ137" s="23">
        <f>EXP(-LN(2)/25)*BQ136+(1-EXP(-LN(2)/25))/(LN(2)/25)*Calculateur!BL137*Calculateur!BN137*VLOOKUP('Données projet'!$B$11,Paramètres!$A$1:$I$89,3,0)*0.475*44/12</f>
        <v>0</v>
      </c>
      <c r="BR137" s="23">
        <f>EXP(-LN(2)/2)*BR136+(1-EXP(-LN(2)/2))/(LN(2)/2)*BL137*BO137*VLOOKUP('Données projet'!$B$11,Paramètres!$A$1:$I$89,3,0)*0.475*44/12</f>
        <v>0</v>
      </c>
      <c r="BS137" s="24">
        <f t="shared" si="117"/>
        <v>0</v>
      </c>
      <c r="BT137" s="77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3.8</v>
      </c>
      <c r="BY137" s="13">
        <f>IF('Données projet'!$A$114&gt;35,BY136+BX137-CG136,IF(A137&lt;'Données projet'!$A$114,$BV$205^A137,IF(A137='Données projet'!$A$114,'Données projet'!$B$114,BY136+BX137-CG136)))</f>
        <v>318.19999999999982</v>
      </c>
      <c r="BZ137" s="14">
        <f>BY137*VLOOKUP('Données projet'!$B$12,Paramètres!$A$1:$I$89,3,0)*VLOOKUP('Données projet'!$B$12,Paramètres!$A$1:$I$89,5,0)</f>
        <v>322.65479999999985</v>
      </c>
      <c r="CA137" s="14">
        <f t="shared" si="147"/>
        <v>75.905470539220715</v>
      </c>
      <c r="CB137" s="22">
        <f t="shared" si="118"/>
        <v>694.15913785580915</v>
      </c>
      <c r="CC137" s="60">
        <f t="shared" si="119"/>
        <v>987.49247118914241</v>
      </c>
      <c r="CD137" s="60">
        <f ca="1">AVERAGE(OFFSET($CC$3,0,0,'Données projet'!$E$12+1,1))-AVERAGE(OFFSET($H$3,0,0,'Données projet'!$E$12+1,1))</f>
        <v>587.74247372331615</v>
      </c>
      <c r="CE137" s="60">
        <f t="shared" si="148"/>
        <v>306.61893266146666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>
        <f>EXP(-LN(2)/35)*CK136+(1-EXP(-LN(2)/35))/(LN(2)/35)*CG137*CH137*VLOOKUP('Données projet'!$B$12,Paramètres!$A$1:$I$89,3,0)*0.475*44/12</f>
        <v>0</v>
      </c>
      <c r="CL137" s="23">
        <f>EXP(-LN(2)/25)*CL136+(1-EXP(-LN(2)/25))/(LN(2)/25)*Calculateur!CG137*Calculateur!CI137*VLOOKUP('Données projet'!$B$12,Paramètres!$A$1:$I$89,3,0)*0.475*44/12</f>
        <v>0</v>
      </c>
      <c r="CM137" s="23">
        <f>EXP(-LN(2)/2)*CM136+(1-EXP(-LN(2)/2))/(LN(2)/2)*CG137*CJ137*VLOOKUP('Données projet'!$B$12,Paramètres!$A$1:$I$89,3,0)*0.475*44/12</f>
        <v>0</v>
      </c>
      <c r="CN137" s="24">
        <f t="shared" si="120"/>
        <v>0</v>
      </c>
      <c r="CO137" s="77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3.8</v>
      </c>
      <c r="CT137" s="13">
        <f>IF('Données projet'!$A$140&gt;35,CT136+CS137-DB136,IF(A137&lt;'Données projet'!$A$140,$CQ$205^A137,IF(A137='Données projet'!$A$140,'Données projet'!$B$140,CT136+CS137-DB136)))</f>
        <v>318.19999999999982</v>
      </c>
      <c r="CU137" s="18">
        <f>CT137*VLOOKUP('Données projet'!$B$13,Paramètres!$A$1:$I$89,3,0)*VLOOKUP('Données projet'!$B$13,Paramètres!$A$1:$I$89,5,0)</f>
        <v>342.5104799999998</v>
      </c>
      <c r="CV137" s="14">
        <f t="shared" si="149"/>
        <v>80.018405199134463</v>
      </c>
      <c r="CW137" s="22">
        <f t="shared" si="121"/>
        <v>735.90447505515885</v>
      </c>
      <c r="CX137" s="60">
        <f t="shared" si="122"/>
        <v>1029.2378083884921</v>
      </c>
      <c r="CY137" s="60">
        <f ca="1">AVERAGE(OFFSET($CX$3,0,0,'Données projet'!$E$13+1,1))-AVERAGE(OFFSET($H$3,0,0,'Données projet'!$E$13+1,1))</f>
        <v>621.10465023992288</v>
      </c>
      <c r="CZ137" s="60">
        <f t="shared" si="150"/>
        <v>322.81767004794284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>
        <f>EXP(-LN(2)/35)*DF136+(1-EXP(-LN(2)/35))/(LN(2)/35)*DB137*DC137*VLOOKUP('Données projet'!$B$13,Paramètres!$A$1:$I$89,3,0)*0.475*44/12</f>
        <v>0</v>
      </c>
      <c r="DG137" s="23">
        <f>EXP(-LN(2)/25)*DG136+(1-EXP(-LN(2)/25))/(LN(2)/25)*Calculateur!DB137*Calculateur!DD137*VLOOKUP('Données projet'!$B$13,Paramètres!$A$1:$I$89,3,0)*0.475*44/12</f>
        <v>0</v>
      </c>
      <c r="DH137" s="23">
        <f>EXP(-LN(2)/2)*DH136+(1-EXP(-LN(2)/2))/(LN(2)/2)*DB137*DE137*VLOOKUP('Données projet'!$B$13,Paramètres!$A$1:$I$89,3,0)*0.475*44/12</f>
        <v>0</v>
      </c>
      <c r="DI137" s="24">
        <f t="shared" si="123"/>
        <v>0</v>
      </c>
      <c r="DJ137" s="77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3.8</v>
      </c>
      <c r="DO137" s="13">
        <f>IF('Données projet'!$A$166&gt;35,DO136+DN137-DW136,IF(A137&lt;'Données projet'!$A$166,$DL$205^A137,IF(A137='Données projet'!$A$166,'Données projet'!$B$166,DO136+DN137-DW136)))</f>
        <v>318.19999999999982</v>
      </c>
      <c r="DP137" s="18">
        <f>DO137*VLOOKUP('Données projet'!$B$14,Paramètres!$A$1:$I$89,3,0)*VLOOKUP('Données projet'!$B$14,Paramètres!$A$1:$I$89,5,0)</f>
        <v>307.76303999999982</v>
      </c>
      <c r="DQ137" s="14">
        <f t="shared" si="151"/>
        <v>72.801467165067464</v>
      </c>
      <c r="DR137" s="22">
        <f t="shared" si="124"/>
        <v>662.81651664582557</v>
      </c>
      <c r="DS137" s="60">
        <f t="shared" si="125"/>
        <v>956.14984997915894</v>
      </c>
      <c r="DT137" s="60">
        <f ca="1">AVERAGE(OFFSET($DS$3,0,0,'Données projet'!$E$14+1,1))-AVERAGE(OFFSET($H$3,0,0,'Données projet'!$E$14+1,1))</f>
        <v>562.69380557620775</v>
      </c>
      <c r="DU137" s="60">
        <f t="shared" si="152"/>
        <v>294.45557293177131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>
        <f>EXP(-LN(2)/35)*EA136+(1-EXP(-LN(2)/35))/(LN(2)/35)*DW137*DX137*VLOOKUP('Données projet'!$B$14,Paramètres!$A$1:$I$89,3,0)*0.475*44/12</f>
        <v>0</v>
      </c>
      <c r="EB137" s="23">
        <f>EXP(-LN(2)/25)*EB136+(1-EXP(-LN(2)/25))/(LN(2)/25)*Calculateur!DW137*Calculateur!DY137*VLOOKUP('Données projet'!$B$14,Paramètres!$A$1:$I$89,3,0)*0.475*44/12</f>
        <v>0</v>
      </c>
      <c r="EC137" s="23">
        <f>EXP(-LN(2)/2)*EC136+(1-EXP(-LN(2)/2))/(LN(2)/2)*DW137*DZ137*VLOOKUP('Données projet'!$B$14,Paramètres!$A$1:$I$89,3,0)*0.475*44/12</f>
        <v>0</v>
      </c>
      <c r="ED137" s="24">
        <f t="shared" si="126"/>
        <v>0</v>
      </c>
      <c r="EE137" s="77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1.1368683772161603E-13</v>
      </c>
      <c r="EK137" s="18">
        <f>EJ137*VLOOKUP('Données projet'!$B$15,Paramètres!$A$1:$I$89,3,0)*VLOOKUP('Données projet'!$B$15,Paramètres!$A$1:$I$89,5,0)</f>
        <v>8.8675733422860506E-14</v>
      </c>
      <c r="EL137" s="14">
        <f t="shared" si="153"/>
        <v>1.3509285393066301E-12</v>
      </c>
      <c r="EM137" s="22">
        <f t="shared" si="127"/>
        <v>2.5073107750038623E-12</v>
      </c>
      <c r="EN137" s="60">
        <f t="shared" si="128"/>
        <v>293.33333333333582</v>
      </c>
      <c r="EO137" s="60">
        <f ca="1">AVERAGE(OFFSET($EN$3,0,0,'Données projet'!$E$15+1,1))-AVERAGE(OFFSET($H$3,0,0,'Données projet'!$E$15+1,1))</f>
        <v>292.57482726862594</v>
      </c>
      <c r="EP137" s="60">
        <f t="shared" si="154"/>
        <v>283.48738729114024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>
        <f>EXP(-LN(2)/35)*EV136+(1-EXP(-LN(2)/35))/(LN(2)/35)*ER137*ES137*VLOOKUP('Données projet'!$B$15,Paramètres!$A$1:$I$89,3,0)*0.475*44/12</f>
        <v>0</v>
      </c>
      <c r="EW137" s="23">
        <f>EXP(-LN(2)/25)*EW136+(1-EXP(-LN(2)/25))/(LN(2)/25)*Calculateur!ER137*Calculateur!ET137*VLOOKUP('Données projet'!$B$15,Paramètres!$A$1:$I$89,3,0)*0.475*44/12</f>
        <v>0</v>
      </c>
      <c r="EX137" s="23">
        <f>EXP(-LN(2)/2)*EX136+(1-EXP(-LN(2)/2))/(LN(2)/2)*ER137*EU137*VLOOKUP('Données projet'!$B$15,Paramètres!$A$1:$I$89,3,0)*0.475*44/12</f>
        <v>0</v>
      </c>
      <c r="EY137" s="24">
        <f t="shared" si="129"/>
        <v>0</v>
      </c>
      <c r="EZ137" s="77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0" t="e">
        <f t="shared" si="131"/>
        <v>#N/A</v>
      </c>
      <c r="FJ137" s="60" t="e">
        <f ca="1">AVERAGE(OFFSET($FI$3,0,0,'Données projet'!$E$16+1,1))-AVERAGE(OFFSET($H$3,0,0,'Données projet'!$E$16+1,1))</f>
        <v>#N/A</v>
      </c>
      <c r="FK137" s="60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77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0" t="e">
        <f t="shared" si="134"/>
        <v>#N/A</v>
      </c>
      <c r="GE137" s="60" t="e">
        <f ca="1">AVERAGE(OFFSET($GD$3,0,0,'Données projet'!$E$17+1,1))-AVERAGE(OFFSET($H$3,0,0,'Données projet'!$E$17+1,1))</f>
        <v>#N/A</v>
      </c>
      <c r="GF137" s="60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77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0" t="e">
        <f t="shared" si="137"/>
        <v>#N/A</v>
      </c>
      <c r="GZ137" s="60" t="e">
        <f ca="1">AVERAGE(OFFSET($GY$3,0,0,'Données projet'!$E$18+1,1))-AVERAGE(OFFSET($H$3,0,0,'Données projet'!$E$18+1,1))</f>
        <v>#N/A</v>
      </c>
      <c r="HA137" s="60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25">
      <c r="A138" s="11">
        <f t="shared" si="139"/>
        <v>135</v>
      </c>
      <c r="B138" s="74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2">
        <f t="shared" si="140"/>
        <v>0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0</v>
      </c>
      <c r="H138" s="67">
        <f t="shared" si="110"/>
        <v>256.66666666666669</v>
      </c>
      <c r="I138" s="7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1.1368683772161603E-13</v>
      </c>
      <c r="O138" s="14">
        <f>N138*VLOOKUP('Données projet'!$B$9,Paramètres!$A$1:$I$89,3,0)*VLOOKUP('Données projet'!$B$9,Paramètres!$A$1:$I$89,5,0)</f>
        <v>1.0818439477588981E-13</v>
      </c>
      <c r="P138" s="14">
        <f t="shared" si="141"/>
        <v>1.6104228458716316E-12</v>
      </c>
      <c r="Q138" s="22">
        <f t="shared" si="108"/>
        <v>2.9932409441277661E-12</v>
      </c>
      <c r="R138" s="60">
        <f t="shared" si="109"/>
        <v>293.33333333333633</v>
      </c>
      <c r="S138" s="60">
        <f ca="1">AVERAGE(OFFSET($R$3,0,0,'Données projet'!$E$9+1,1))-AVERAGE(OFFSET($H$3,0,0,'Données projet'!$E$9+1,1))</f>
        <v>403.49781966317852</v>
      </c>
      <c r="T138" s="60">
        <f t="shared" si="142"/>
        <v>326.06674572505409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0</v>
      </c>
      <c r="AA138" s="23">
        <f>EXP(-LN(2)/25)*AA137+(1-EXP(-LN(2)/25))/(LN(2)/25)*Calculateur!V138*Calculateur!X138*VLOOKUP('Données projet'!$B$9,Paramètres!$A$1:$I$89,3,0)*0.475*44/12</f>
        <v>0</v>
      </c>
      <c r="AB138" s="23">
        <f>EXP(-LN(2)/2)*AB137+(1-EXP(-LN(2)/2))/(LN(2)/2)*V138*Y138*VLOOKUP('Données projet'!$B$9,Paramètres!$A$1:$I$89,3,0)*0.475*44/12</f>
        <v>0</v>
      </c>
      <c r="AC138" s="24">
        <f t="shared" si="111"/>
        <v>0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-1.1368683772161603E-13</v>
      </c>
      <c r="AJ138" s="14">
        <f>AI138*VLOOKUP('Données projet'!$B$10,Paramètres!$A$1:$I$89,3,0)*VLOOKUP('Données projet'!$B$10,Paramètres!$A$1:$I$89,5,0)</f>
        <v>-9.9316821433603781E-14</v>
      </c>
      <c r="AK138" s="14" t="e">
        <f t="shared" si="143"/>
        <v>#NUM!</v>
      </c>
      <c r="AL138" s="22" t="e">
        <f t="shared" si="112"/>
        <v>#NUM!</v>
      </c>
      <c r="AM138" s="60" t="e">
        <f t="shared" si="113"/>
        <v>#NUM!</v>
      </c>
      <c r="AN138" s="60">
        <f ca="1">AVERAGE(OFFSET($AM$3,0,0,'Données projet'!$E$10+1,1))-AVERAGE(OFFSET($H$3,0,0,'Données projet'!$E$10+1,1))</f>
        <v>274.66236526869056</v>
      </c>
      <c r="AO138" s="60">
        <f t="shared" si="144"/>
        <v>256.90876395053073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>
        <f>EXP(-LN(2)/35)*AU137+(1-EXP(-LN(2)/35))/(LN(2)/35)*AQ138*AR138*VLOOKUP('Données projet'!$B$10,Paramètres!$A$1:$I$89,3,0)*0.475*44/12</f>
        <v>0</v>
      </c>
      <c r="AV138" s="23">
        <f>EXP(-LN(2)/25)*AV137+(1-EXP(-LN(2)/25))/(LN(2)/25)*Calculateur!AQ138*Calculateur!AS138*VLOOKUP('Données projet'!$B$10,Paramètres!$A$1:$I$89,3,0)*0.475*44/12</f>
        <v>0</v>
      </c>
      <c r="AW138" s="23">
        <f>EXP(-LN(2)/2)*AW137+(1-EXP(-LN(2)/2))/(LN(2)/2)*AQ138*AT138*VLOOKUP('Données projet'!$B$10,Paramètres!$A$1:$I$89,3,0)*0.475*44/12</f>
        <v>0</v>
      </c>
      <c r="AX138" s="23">
        <f t="shared" si="114"/>
        <v>0</v>
      </c>
      <c r="AY138" s="76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3.8</v>
      </c>
      <c r="BD138" s="13">
        <f>IF('Données projet'!$A$88&gt;35,BD137+BC138-BL137,IF(A138&lt;'Données projet'!$A$88,$BA$205^A138,IF(A138='Données projet'!$A$88,'Données projet'!$B$88,BD137+BC138-BL137)))</f>
        <v>321.99999999999983</v>
      </c>
      <c r="BE138" s="14">
        <f>BD138*VLOOKUP('Données projet'!$B$11,Paramètres!$A$1:$I$89,3,0)*VLOOKUP('Données projet'!$B$11,Paramètres!$A$1:$I$89,5,0)</f>
        <v>291.34559999999982</v>
      </c>
      <c r="BF138" s="14">
        <f t="shared" si="145"/>
        <v>69.359089490698651</v>
      </c>
      <c r="BG138" s="22">
        <f t="shared" si="115"/>
        <v>628.22733419629969</v>
      </c>
      <c r="BH138" s="60">
        <f t="shared" si="116"/>
        <v>921.56066752963306</v>
      </c>
      <c r="BI138" s="60">
        <f ca="1">AVERAGE(OFFSET($BH$3,0,0,'Données projet'!$E$11+1,1))-AVERAGE(OFFSET($H$3,0,0,'Données projet'!$E$11+1,1))</f>
        <v>529.25712986118265</v>
      </c>
      <c r="BJ138" s="60">
        <f t="shared" si="146"/>
        <v>278.21741231699929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>
        <f>EXP(-LN(2)/35)*BP137+(1-EXP(-LN(2)/35))/(LN(2)/35)*BL138*BM138*VLOOKUP('Données projet'!$B$11,Paramètres!$A$1:$I$89,3,0)*0.475*44/12</f>
        <v>0</v>
      </c>
      <c r="BQ138" s="23">
        <f>EXP(-LN(2)/25)*BQ137+(1-EXP(-LN(2)/25))/(LN(2)/25)*Calculateur!BL138*Calculateur!BN138*VLOOKUP('Données projet'!$B$11,Paramètres!$A$1:$I$89,3,0)*0.475*44/12</f>
        <v>0</v>
      </c>
      <c r="BR138" s="23">
        <f>EXP(-LN(2)/2)*BR137+(1-EXP(-LN(2)/2))/(LN(2)/2)*BL138*BO138*VLOOKUP('Données projet'!$B$11,Paramètres!$A$1:$I$89,3,0)*0.475*44/12</f>
        <v>0</v>
      </c>
      <c r="BS138" s="24">
        <f t="shared" si="117"/>
        <v>0</v>
      </c>
      <c r="BT138" s="77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3.8</v>
      </c>
      <c r="BY138" s="13">
        <f>IF('Données projet'!$A$114&gt;35,BY137+BX138-CG137,IF(A138&lt;'Données projet'!$A$114,$BV$205^A138,IF(A138='Données projet'!$A$114,'Données projet'!$B$114,BY137+BX138-CG137)))</f>
        <v>321.99999999999983</v>
      </c>
      <c r="BZ138" s="14">
        <f>BY138*VLOOKUP('Données projet'!$B$12,Paramètres!$A$1:$I$89,3,0)*VLOOKUP('Données projet'!$B$12,Paramètres!$A$1:$I$89,5,0)</f>
        <v>326.50799999999987</v>
      </c>
      <c r="CA138" s="14">
        <f t="shared" si="147"/>
        <v>76.705878841344258</v>
      </c>
      <c r="CB138" s="22">
        <f t="shared" si="118"/>
        <v>702.26417231534106</v>
      </c>
      <c r="CC138" s="60">
        <f t="shared" si="119"/>
        <v>995.59750564867431</v>
      </c>
      <c r="CD138" s="60">
        <f ca="1">AVERAGE(OFFSET($CC$3,0,0,'Données projet'!$E$12+1,1))-AVERAGE(OFFSET($H$3,0,0,'Données projet'!$E$12+1,1))</f>
        <v>587.74247372331615</v>
      </c>
      <c r="CE138" s="60">
        <f t="shared" si="148"/>
        <v>306.61893266146666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>
        <f>EXP(-LN(2)/35)*CK137+(1-EXP(-LN(2)/35))/(LN(2)/35)*CG138*CH138*VLOOKUP('Données projet'!$B$12,Paramètres!$A$1:$I$89,3,0)*0.475*44/12</f>
        <v>0</v>
      </c>
      <c r="CL138" s="23">
        <f>EXP(-LN(2)/25)*CL137+(1-EXP(-LN(2)/25))/(LN(2)/25)*Calculateur!CG138*Calculateur!CI138*VLOOKUP('Données projet'!$B$12,Paramètres!$A$1:$I$89,3,0)*0.475*44/12</f>
        <v>0</v>
      </c>
      <c r="CM138" s="23">
        <f>EXP(-LN(2)/2)*CM137+(1-EXP(-LN(2)/2))/(LN(2)/2)*CG138*CJ138*VLOOKUP('Données projet'!$B$12,Paramètres!$A$1:$I$89,3,0)*0.475*44/12</f>
        <v>0</v>
      </c>
      <c r="CN138" s="24">
        <f t="shared" si="120"/>
        <v>0</v>
      </c>
      <c r="CO138" s="77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3.8</v>
      </c>
      <c r="CT138" s="13">
        <f>IF('Données projet'!$A$140&gt;35,CT137+CS138-DB137,IF(A138&lt;'Données projet'!$A$140,$CQ$205^A138,IF(A138='Données projet'!$A$140,'Données projet'!$B$140,CT137+CS138-DB137)))</f>
        <v>321.99999999999983</v>
      </c>
      <c r="CU138" s="18">
        <f>CT138*VLOOKUP('Données projet'!$B$13,Paramètres!$A$1:$I$89,3,0)*VLOOKUP('Données projet'!$B$13,Paramètres!$A$1:$I$89,5,0)</f>
        <v>346.60079999999982</v>
      </c>
      <c r="CV138" s="14">
        <f t="shared" si="149"/>
        <v>80.862183590719297</v>
      </c>
      <c r="CW138" s="22">
        <f t="shared" si="121"/>
        <v>744.49802975383579</v>
      </c>
      <c r="CX138" s="60">
        <f t="shared" si="122"/>
        <v>1037.8313630871692</v>
      </c>
      <c r="CY138" s="60">
        <f ca="1">AVERAGE(OFFSET($CX$3,0,0,'Données projet'!$E$13+1,1))-AVERAGE(OFFSET($H$3,0,0,'Données projet'!$E$13+1,1))</f>
        <v>621.10465023992288</v>
      </c>
      <c r="CZ138" s="60">
        <f t="shared" si="150"/>
        <v>322.81767004794284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>
        <f>EXP(-LN(2)/35)*DF137+(1-EXP(-LN(2)/35))/(LN(2)/35)*DB138*DC138*VLOOKUP('Données projet'!$B$13,Paramètres!$A$1:$I$89,3,0)*0.475*44/12</f>
        <v>0</v>
      </c>
      <c r="DG138" s="23">
        <f>EXP(-LN(2)/25)*DG137+(1-EXP(-LN(2)/25))/(LN(2)/25)*Calculateur!DB138*Calculateur!DD138*VLOOKUP('Données projet'!$B$13,Paramètres!$A$1:$I$89,3,0)*0.475*44/12</f>
        <v>0</v>
      </c>
      <c r="DH138" s="23">
        <f>EXP(-LN(2)/2)*DH137+(1-EXP(-LN(2)/2))/(LN(2)/2)*DB138*DE138*VLOOKUP('Données projet'!$B$13,Paramètres!$A$1:$I$89,3,0)*0.475*44/12</f>
        <v>0</v>
      </c>
      <c r="DI138" s="24">
        <f t="shared" si="123"/>
        <v>0</v>
      </c>
      <c r="DJ138" s="77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3.8</v>
      </c>
      <c r="DO138" s="13">
        <f>IF('Données projet'!$A$166&gt;35,DO137+DN138-DW137,IF(A138&lt;'Données projet'!$A$166,$DL$205^A138,IF(A138='Données projet'!$A$166,'Données projet'!$B$166,DO137+DN138-DW137)))</f>
        <v>321.99999999999983</v>
      </c>
      <c r="DP138" s="18">
        <f>DO138*VLOOKUP('Données projet'!$B$14,Paramètres!$A$1:$I$89,3,0)*VLOOKUP('Données projet'!$B$14,Paramètres!$A$1:$I$89,5,0)</f>
        <v>311.43839999999983</v>
      </c>
      <c r="DQ138" s="14">
        <f t="shared" si="151"/>
        <v>73.569144360291361</v>
      </c>
      <c r="DR138" s="22">
        <f t="shared" si="124"/>
        <v>670.55480642750706</v>
      </c>
      <c r="DS138" s="60">
        <f t="shared" si="125"/>
        <v>963.88813976084043</v>
      </c>
      <c r="DT138" s="60">
        <f ca="1">AVERAGE(OFFSET($DS$3,0,0,'Données projet'!$E$14+1,1))-AVERAGE(OFFSET($H$3,0,0,'Données projet'!$E$14+1,1))</f>
        <v>562.69380557620775</v>
      </c>
      <c r="DU138" s="60">
        <f t="shared" si="152"/>
        <v>294.45557293177131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>
        <f>EXP(-LN(2)/35)*EA137+(1-EXP(-LN(2)/35))/(LN(2)/35)*DW138*DX138*VLOOKUP('Données projet'!$B$14,Paramètres!$A$1:$I$89,3,0)*0.475*44/12</f>
        <v>0</v>
      </c>
      <c r="EB138" s="23">
        <f>EXP(-LN(2)/25)*EB137+(1-EXP(-LN(2)/25))/(LN(2)/25)*Calculateur!DW138*Calculateur!DY138*VLOOKUP('Données projet'!$B$14,Paramètres!$A$1:$I$89,3,0)*0.475*44/12</f>
        <v>0</v>
      </c>
      <c r="EC138" s="23">
        <f>EXP(-LN(2)/2)*EC137+(1-EXP(-LN(2)/2))/(LN(2)/2)*DW138*DZ138*VLOOKUP('Données projet'!$B$14,Paramètres!$A$1:$I$89,3,0)*0.475*44/12</f>
        <v>0</v>
      </c>
      <c r="ED138" s="24">
        <f t="shared" si="126"/>
        <v>0</v>
      </c>
      <c r="EE138" s="77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1.1368683772161603E-13</v>
      </c>
      <c r="EK138" s="18">
        <f>EJ138*VLOOKUP('Données projet'!$B$15,Paramètres!$A$1:$I$89,3,0)*VLOOKUP('Données projet'!$B$15,Paramètres!$A$1:$I$89,5,0)</f>
        <v>8.8675733422860506E-14</v>
      </c>
      <c r="EL138" s="14">
        <f t="shared" si="153"/>
        <v>1.3509285393066301E-12</v>
      </c>
      <c r="EM138" s="22">
        <f t="shared" si="127"/>
        <v>2.5073107750038623E-12</v>
      </c>
      <c r="EN138" s="60">
        <f t="shared" si="128"/>
        <v>293.33333333333582</v>
      </c>
      <c r="EO138" s="60">
        <f ca="1">AVERAGE(OFFSET($EN$3,0,0,'Données projet'!$E$15+1,1))-AVERAGE(OFFSET($H$3,0,0,'Données projet'!$E$15+1,1))</f>
        <v>292.57482726862594</v>
      </c>
      <c r="EP138" s="60">
        <f t="shared" si="154"/>
        <v>283.48738729114024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>
        <f>EXP(-LN(2)/35)*EV137+(1-EXP(-LN(2)/35))/(LN(2)/35)*ER138*ES138*VLOOKUP('Données projet'!$B$15,Paramètres!$A$1:$I$89,3,0)*0.475*44/12</f>
        <v>0</v>
      </c>
      <c r="EW138" s="23">
        <f>EXP(-LN(2)/25)*EW137+(1-EXP(-LN(2)/25))/(LN(2)/25)*Calculateur!ER138*Calculateur!ET138*VLOOKUP('Données projet'!$B$15,Paramètres!$A$1:$I$89,3,0)*0.475*44/12</f>
        <v>0</v>
      </c>
      <c r="EX138" s="23">
        <f>EXP(-LN(2)/2)*EX137+(1-EXP(-LN(2)/2))/(LN(2)/2)*ER138*EU138*VLOOKUP('Données projet'!$B$15,Paramètres!$A$1:$I$89,3,0)*0.475*44/12</f>
        <v>0</v>
      </c>
      <c r="EY138" s="24">
        <f t="shared" si="129"/>
        <v>0</v>
      </c>
      <c r="EZ138" s="77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0" t="e">
        <f t="shared" si="131"/>
        <v>#N/A</v>
      </c>
      <c r="FJ138" s="60" t="e">
        <f ca="1">AVERAGE(OFFSET($FI$3,0,0,'Données projet'!$E$16+1,1))-AVERAGE(OFFSET($H$3,0,0,'Données projet'!$E$16+1,1))</f>
        <v>#N/A</v>
      </c>
      <c r="FK138" s="60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77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0" t="e">
        <f t="shared" si="134"/>
        <v>#N/A</v>
      </c>
      <c r="GE138" s="60" t="e">
        <f ca="1">AVERAGE(OFFSET($GD$3,0,0,'Données projet'!$E$17+1,1))-AVERAGE(OFFSET($H$3,0,0,'Données projet'!$E$17+1,1))</f>
        <v>#N/A</v>
      </c>
      <c r="GF138" s="60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77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0" t="e">
        <f t="shared" si="137"/>
        <v>#N/A</v>
      </c>
      <c r="GZ138" s="60" t="e">
        <f ca="1">AVERAGE(OFFSET($GY$3,0,0,'Données projet'!$E$18+1,1))-AVERAGE(OFFSET($H$3,0,0,'Données projet'!$E$18+1,1))</f>
        <v>#N/A</v>
      </c>
      <c r="HA138" s="60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25">
      <c r="A139" s="11">
        <f t="shared" si="139"/>
        <v>136</v>
      </c>
      <c r="B139" s="74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2">
        <f t="shared" si="140"/>
        <v>0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0</v>
      </c>
      <c r="H139" s="67">
        <f t="shared" si="110"/>
        <v>256.66666666666669</v>
      </c>
      <c r="I139" s="7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1.1368683772161603E-13</v>
      </c>
      <c r="O139" s="14">
        <f>N139*VLOOKUP('Données projet'!$B$9,Paramètres!$A$1:$I$89,3,0)*VLOOKUP('Données projet'!$B$9,Paramètres!$A$1:$I$89,5,0)</f>
        <v>1.0818439477588981E-13</v>
      </c>
      <c r="P139" s="14">
        <f t="shared" si="141"/>
        <v>1.6104228458716316E-12</v>
      </c>
      <c r="Q139" s="22">
        <f t="shared" si="108"/>
        <v>2.9932409441277661E-12</v>
      </c>
      <c r="R139" s="60">
        <f t="shared" si="109"/>
        <v>293.33333333333633</v>
      </c>
      <c r="S139" s="60">
        <f ca="1">AVERAGE(OFFSET($R$3,0,0,'Données projet'!$E$9+1,1))-AVERAGE(OFFSET($H$3,0,0,'Données projet'!$E$9+1,1))</f>
        <v>403.49781966317852</v>
      </c>
      <c r="T139" s="60">
        <f t="shared" si="142"/>
        <v>326.06674572505409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0</v>
      </c>
      <c r="AA139" s="23">
        <f>EXP(-LN(2)/25)*AA138+(1-EXP(-LN(2)/25))/(LN(2)/25)*Calculateur!V139*Calculateur!X139*VLOOKUP('Données projet'!$B$9,Paramètres!$A$1:$I$89,3,0)*0.475*44/12</f>
        <v>0</v>
      </c>
      <c r="AB139" s="23">
        <f>EXP(-LN(2)/2)*AB138+(1-EXP(-LN(2)/2))/(LN(2)/2)*V139*Y139*VLOOKUP('Données projet'!$B$9,Paramètres!$A$1:$I$89,3,0)*0.475*44/12</f>
        <v>0</v>
      </c>
      <c r="AC139" s="24">
        <f t="shared" si="111"/>
        <v>0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-1.1368683772161603E-13</v>
      </c>
      <c r="AJ139" s="14">
        <f>AI139*VLOOKUP('Données projet'!$B$10,Paramètres!$A$1:$I$89,3,0)*VLOOKUP('Données projet'!$B$10,Paramètres!$A$1:$I$89,5,0)</f>
        <v>-9.9316821433603781E-14</v>
      </c>
      <c r="AK139" s="14" t="e">
        <f t="shared" si="143"/>
        <v>#NUM!</v>
      </c>
      <c r="AL139" s="22" t="e">
        <f t="shared" si="112"/>
        <v>#NUM!</v>
      </c>
      <c r="AM139" s="60" t="e">
        <f t="shared" si="113"/>
        <v>#NUM!</v>
      </c>
      <c r="AN139" s="60">
        <f ca="1">AVERAGE(OFFSET($AM$3,0,0,'Données projet'!$E$10+1,1))-AVERAGE(OFFSET($H$3,0,0,'Données projet'!$E$10+1,1))</f>
        <v>274.66236526869056</v>
      </c>
      <c r="AO139" s="60">
        <f t="shared" si="144"/>
        <v>256.90876395053073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>
        <f>EXP(-LN(2)/35)*AU138+(1-EXP(-LN(2)/35))/(LN(2)/35)*AQ139*AR139*VLOOKUP('Données projet'!$B$10,Paramètres!$A$1:$I$89,3,0)*0.475*44/12</f>
        <v>0</v>
      </c>
      <c r="AV139" s="23">
        <f>EXP(-LN(2)/25)*AV138+(1-EXP(-LN(2)/25))/(LN(2)/25)*Calculateur!AQ139*Calculateur!AS139*VLOOKUP('Données projet'!$B$10,Paramètres!$A$1:$I$89,3,0)*0.475*44/12</f>
        <v>0</v>
      </c>
      <c r="AW139" s="23">
        <f>EXP(-LN(2)/2)*AW138+(1-EXP(-LN(2)/2))/(LN(2)/2)*AQ139*AT139*VLOOKUP('Données projet'!$B$10,Paramètres!$A$1:$I$89,3,0)*0.475*44/12</f>
        <v>0</v>
      </c>
      <c r="AX139" s="23">
        <f t="shared" si="114"/>
        <v>0</v>
      </c>
      <c r="AY139" s="76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3.8</v>
      </c>
      <c r="BD139" s="13">
        <f>IF('Données projet'!$A$88&gt;35,BD138+BC139-BL138,IF(A139&lt;'Données projet'!$A$88,$BA$205^A139,IF(A139='Données projet'!$A$88,'Données projet'!$B$88,BD138+BC139-BL138)))</f>
        <v>325.79999999999984</v>
      </c>
      <c r="BE139" s="14">
        <f>BD139*VLOOKUP('Données projet'!$B$11,Paramètres!$A$1:$I$89,3,0)*VLOOKUP('Données projet'!$B$11,Paramètres!$A$1:$I$89,5,0)</f>
        <v>294.78383999999983</v>
      </c>
      <c r="BF139" s="14">
        <f t="shared" si="145"/>
        <v>70.081842199807596</v>
      </c>
      <c r="BG139" s="22">
        <f t="shared" si="115"/>
        <v>635.47439649799799</v>
      </c>
      <c r="BH139" s="60">
        <f t="shared" si="116"/>
        <v>928.80772983133124</v>
      </c>
      <c r="BI139" s="60">
        <f ca="1">AVERAGE(OFFSET($BH$3,0,0,'Données projet'!$E$11+1,1))-AVERAGE(OFFSET($H$3,0,0,'Données projet'!$E$11+1,1))</f>
        <v>529.25712986118265</v>
      </c>
      <c r="BJ139" s="60">
        <f t="shared" si="146"/>
        <v>278.21741231699929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>
        <f>EXP(-LN(2)/35)*BP138+(1-EXP(-LN(2)/35))/(LN(2)/35)*BL139*BM139*VLOOKUP('Données projet'!$B$11,Paramètres!$A$1:$I$89,3,0)*0.475*44/12</f>
        <v>0</v>
      </c>
      <c r="BQ139" s="23">
        <f>EXP(-LN(2)/25)*BQ138+(1-EXP(-LN(2)/25))/(LN(2)/25)*Calculateur!BL139*Calculateur!BN139*VLOOKUP('Données projet'!$B$11,Paramètres!$A$1:$I$89,3,0)*0.475*44/12</f>
        <v>0</v>
      </c>
      <c r="BR139" s="23">
        <f>EXP(-LN(2)/2)*BR138+(1-EXP(-LN(2)/2))/(LN(2)/2)*BL139*BO139*VLOOKUP('Données projet'!$B$11,Paramètres!$A$1:$I$89,3,0)*0.475*44/12</f>
        <v>0</v>
      </c>
      <c r="BS139" s="24">
        <f t="shared" si="117"/>
        <v>0</v>
      </c>
      <c r="BT139" s="77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3.8</v>
      </c>
      <c r="BY139" s="13">
        <f>IF('Données projet'!$A$114&gt;35,BY138+BX139-CG138,IF(A139&lt;'Données projet'!$A$114,$BV$205^A139,IF(A139='Données projet'!$A$114,'Données projet'!$B$114,BY138+BX139-CG138)))</f>
        <v>325.79999999999984</v>
      </c>
      <c r="BZ139" s="14">
        <f>BY139*VLOOKUP('Données projet'!$B$12,Paramètres!$A$1:$I$89,3,0)*VLOOKUP('Données projet'!$B$12,Paramètres!$A$1:$I$89,5,0)</f>
        <v>330.36119999999983</v>
      </c>
      <c r="CA139" s="14">
        <f t="shared" si="147"/>
        <v>77.505188378771209</v>
      </c>
      <c r="CB139" s="22">
        <f t="shared" si="118"/>
        <v>710.36729309302621</v>
      </c>
      <c r="CC139" s="60">
        <f t="shared" si="119"/>
        <v>1003.7006264263596</v>
      </c>
      <c r="CD139" s="60">
        <f ca="1">AVERAGE(OFFSET($CC$3,0,0,'Données projet'!$E$12+1,1))-AVERAGE(OFFSET($H$3,0,0,'Données projet'!$E$12+1,1))</f>
        <v>587.74247372331615</v>
      </c>
      <c r="CE139" s="60">
        <f t="shared" si="148"/>
        <v>306.61893266146666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>
        <f>EXP(-LN(2)/35)*CK138+(1-EXP(-LN(2)/35))/(LN(2)/35)*CG139*CH139*VLOOKUP('Données projet'!$B$12,Paramètres!$A$1:$I$89,3,0)*0.475*44/12</f>
        <v>0</v>
      </c>
      <c r="CL139" s="23">
        <f>EXP(-LN(2)/25)*CL138+(1-EXP(-LN(2)/25))/(LN(2)/25)*Calculateur!CG139*Calculateur!CI139*VLOOKUP('Données projet'!$B$12,Paramètres!$A$1:$I$89,3,0)*0.475*44/12</f>
        <v>0</v>
      </c>
      <c r="CM139" s="23">
        <f>EXP(-LN(2)/2)*CM138+(1-EXP(-LN(2)/2))/(LN(2)/2)*CG139*CJ139*VLOOKUP('Données projet'!$B$12,Paramètres!$A$1:$I$89,3,0)*0.475*44/12</f>
        <v>0</v>
      </c>
      <c r="CN139" s="24">
        <f t="shared" si="120"/>
        <v>0</v>
      </c>
      <c r="CO139" s="77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3.8</v>
      </c>
      <c r="CT139" s="13">
        <f>IF('Données projet'!$A$140&gt;35,CT138+CS139-DB138,IF(A139&lt;'Données projet'!$A$140,$CQ$205^A139,IF(A139='Données projet'!$A$140,'Données projet'!$B$140,CT138+CS139-DB138)))</f>
        <v>325.79999999999984</v>
      </c>
      <c r="CU139" s="18">
        <f>CT139*VLOOKUP('Données projet'!$B$13,Paramètres!$A$1:$I$89,3,0)*VLOOKUP('Données projet'!$B$13,Paramètres!$A$1:$I$89,5,0)</f>
        <v>350.69111999999984</v>
      </c>
      <c r="CV139" s="14">
        <f t="shared" si="149"/>
        <v>81.704803681089643</v>
      </c>
      <c r="CW139" s="22">
        <f t="shared" si="121"/>
        <v>753.08956707789741</v>
      </c>
      <c r="CX139" s="60">
        <f t="shared" si="122"/>
        <v>1046.4229004112308</v>
      </c>
      <c r="CY139" s="60">
        <f ca="1">AVERAGE(OFFSET($CX$3,0,0,'Données projet'!$E$13+1,1))-AVERAGE(OFFSET($H$3,0,0,'Données projet'!$E$13+1,1))</f>
        <v>621.10465023992288</v>
      </c>
      <c r="CZ139" s="60">
        <f t="shared" si="150"/>
        <v>322.81767004794284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>
        <f>EXP(-LN(2)/35)*DF138+(1-EXP(-LN(2)/35))/(LN(2)/35)*DB139*DC139*VLOOKUP('Données projet'!$B$13,Paramètres!$A$1:$I$89,3,0)*0.475*44/12</f>
        <v>0</v>
      </c>
      <c r="DG139" s="23">
        <f>EXP(-LN(2)/25)*DG138+(1-EXP(-LN(2)/25))/(LN(2)/25)*Calculateur!DB139*Calculateur!DD139*VLOOKUP('Données projet'!$B$13,Paramètres!$A$1:$I$89,3,0)*0.475*44/12</f>
        <v>0</v>
      </c>
      <c r="DH139" s="23">
        <f>EXP(-LN(2)/2)*DH138+(1-EXP(-LN(2)/2))/(LN(2)/2)*DB139*DE139*VLOOKUP('Données projet'!$B$13,Paramètres!$A$1:$I$89,3,0)*0.475*44/12</f>
        <v>0</v>
      </c>
      <c r="DI139" s="24">
        <f t="shared" si="123"/>
        <v>0</v>
      </c>
      <c r="DJ139" s="77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3.8</v>
      </c>
      <c r="DO139" s="13">
        <f>IF('Données projet'!$A$166&gt;35,DO138+DN139-DW138,IF(A139&lt;'Données projet'!$A$166,$DL$205^A139,IF(A139='Données projet'!$A$166,'Données projet'!$B$166,DO138+DN139-DW138)))</f>
        <v>325.79999999999984</v>
      </c>
      <c r="DP139" s="18">
        <f>DO139*VLOOKUP('Données projet'!$B$14,Paramètres!$A$1:$I$89,3,0)*VLOOKUP('Données projet'!$B$14,Paramètres!$A$1:$I$89,5,0)</f>
        <v>315.11375999999984</v>
      </c>
      <c r="DQ139" s="14">
        <f t="shared" si="151"/>
        <v>74.335767722617277</v>
      </c>
      <c r="DR139" s="22">
        <f t="shared" si="124"/>
        <v>678.29126078355807</v>
      </c>
      <c r="DS139" s="60">
        <f t="shared" si="125"/>
        <v>971.62459411689133</v>
      </c>
      <c r="DT139" s="60">
        <f ca="1">AVERAGE(OFFSET($DS$3,0,0,'Données projet'!$E$14+1,1))-AVERAGE(OFFSET($H$3,0,0,'Données projet'!$E$14+1,1))</f>
        <v>562.69380557620775</v>
      </c>
      <c r="DU139" s="60">
        <f t="shared" si="152"/>
        <v>294.45557293177131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>
        <f>EXP(-LN(2)/35)*EA138+(1-EXP(-LN(2)/35))/(LN(2)/35)*DW139*DX139*VLOOKUP('Données projet'!$B$14,Paramètres!$A$1:$I$89,3,0)*0.475*44/12</f>
        <v>0</v>
      </c>
      <c r="EB139" s="23">
        <f>EXP(-LN(2)/25)*EB138+(1-EXP(-LN(2)/25))/(LN(2)/25)*Calculateur!DW139*Calculateur!DY139*VLOOKUP('Données projet'!$B$14,Paramètres!$A$1:$I$89,3,0)*0.475*44/12</f>
        <v>0</v>
      </c>
      <c r="EC139" s="23">
        <f>EXP(-LN(2)/2)*EC138+(1-EXP(-LN(2)/2))/(LN(2)/2)*DW139*DZ139*VLOOKUP('Données projet'!$B$14,Paramètres!$A$1:$I$89,3,0)*0.475*44/12</f>
        <v>0</v>
      </c>
      <c r="ED139" s="24">
        <f t="shared" si="126"/>
        <v>0</v>
      </c>
      <c r="EE139" s="77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1.1368683772161603E-13</v>
      </c>
      <c r="EK139" s="18">
        <f>EJ139*VLOOKUP('Données projet'!$B$15,Paramètres!$A$1:$I$89,3,0)*VLOOKUP('Données projet'!$B$15,Paramètres!$A$1:$I$89,5,0)</f>
        <v>8.8675733422860506E-14</v>
      </c>
      <c r="EL139" s="14">
        <f t="shared" si="153"/>
        <v>1.3509285393066301E-12</v>
      </c>
      <c r="EM139" s="22">
        <f t="shared" si="127"/>
        <v>2.5073107750038623E-12</v>
      </c>
      <c r="EN139" s="60">
        <f t="shared" si="128"/>
        <v>293.33333333333582</v>
      </c>
      <c r="EO139" s="60">
        <f ca="1">AVERAGE(OFFSET($EN$3,0,0,'Données projet'!$E$15+1,1))-AVERAGE(OFFSET($H$3,0,0,'Données projet'!$E$15+1,1))</f>
        <v>292.57482726862594</v>
      </c>
      <c r="EP139" s="60">
        <f t="shared" si="154"/>
        <v>283.48738729114024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>
        <f>EXP(-LN(2)/35)*EV138+(1-EXP(-LN(2)/35))/(LN(2)/35)*ER139*ES139*VLOOKUP('Données projet'!$B$15,Paramètres!$A$1:$I$89,3,0)*0.475*44/12</f>
        <v>0</v>
      </c>
      <c r="EW139" s="23">
        <f>EXP(-LN(2)/25)*EW138+(1-EXP(-LN(2)/25))/(LN(2)/25)*Calculateur!ER139*Calculateur!ET139*VLOOKUP('Données projet'!$B$15,Paramètres!$A$1:$I$89,3,0)*0.475*44/12</f>
        <v>0</v>
      </c>
      <c r="EX139" s="23">
        <f>EXP(-LN(2)/2)*EX138+(1-EXP(-LN(2)/2))/(LN(2)/2)*ER139*EU139*VLOOKUP('Données projet'!$B$15,Paramètres!$A$1:$I$89,3,0)*0.475*44/12</f>
        <v>0</v>
      </c>
      <c r="EY139" s="24">
        <f t="shared" si="129"/>
        <v>0</v>
      </c>
      <c r="EZ139" s="77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0" t="e">
        <f t="shared" si="131"/>
        <v>#N/A</v>
      </c>
      <c r="FJ139" s="60" t="e">
        <f ca="1">AVERAGE(OFFSET($FI$3,0,0,'Données projet'!$E$16+1,1))-AVERAGE(OFFSET($H$3,0,0,'Données projet'!$E$16+1,1))</f>
        <v>#N/A</v>
      </c>
      <c r="FK139" s="60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77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0" t="e">
        <f t="shared" si="134"/>
        <v>#N/A</v>
      </c>
      <c r="GE139" s="60" t="e">
        <f ca="1">AVERAGE(OFFSET($GD$3,0,0,'Données projet'!$E$17+1,1))-AVERAGE(OFFSET($H$3,0,0,'Données projet'!$E$17+1,1))</f>
        <v>#N/A</v>
      </c>
      <c r="GF139" s="60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77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0" t="e">
        <f t="shared" si="137"/>
        <v>#N/A</v>
      </c>
      <c r="GZ139" s="60" t="e">
        <f ca="1">AVERAGE(OFFSET($GY$3,0,0,'Données projet'!$E$18+1,1))-AVERAGE(OFFSET($H$3,0,0,'Données projet'!$E$18+1,1))</f>
        <v>#N/A</v>
      </c>
      <c r="HA139" s="60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25">
      <c r="A140" s="11">
        <f t="shared" si="139"/>
        <v>137</v>
      </c>
      <c r="B140" s="74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2">
        <f t="shared" si="140"/>
        <v>0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0</v>
      </c>
      <c r="H140" s="67">
        <f t="shared" si="110"/>
        <v>256.66666666666669</v>
      </c>
      <c r="I140" s="7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1.1368683772161603E-13</v>
      </c>
      <c r="O140" s="14">
        <f>N140*VLOOKUP('Données projet'!$B$9,Paramètres!$A$1:$I$89,3,0)*VLOOKUP('Données projet'!$B$9,Paramètres!$A$1:$I$89,5,0)</f>
        <v>1.0818439477588981E-13</v>
      </c>
      <c r="P140" s="14">
        <f t="shared" si="141"/>
        <v>1.6104228458716316E-12</v>
      </c>
      <c r="Q140" s="22">
        <f t="shared" si="108"/>
        <v>2.9932409441277661E-12</v>
      </c>
      <c r="R140" s="60">
        <f t="shared" si="109"/>
        <v>293.33333333333633</v>
      </c>
      <c r="S140" s="60">
        <f ca="1">AVERAGE(OFFSET($R$3,0,0,'Données projet'!$E$9+1,1))-AVERAGE(OFFSET($H$3,0,0,'Données projet'!$E$9+1,1))</f>
        <v>403.49781966317852</v>
      </c>
      <c r="T140" s="60">
        <f t="shared" si="142"/>
        <v>326.06674572505409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0</v>
      </c>
      <c r="AA140" s="23">
        <f>EXP(-LN(2)/25)*AA139+(1-EXP(-LN(2)/25))/(LN(2)/25)*Calculateur!V140*Calculateur!X140*VLOOKUP('Données projet'!$B$9,Paramètres!$A$1:$I$89,3,0)*0.475*44/12</f>
        <v>0</v>
      </c>
      <c r="AB140" s="23">
        <f>EXP(-LN(2)/2)*AB139+(1-EXP(-LN(2)/2))/(LN(2)/2)*V140*Y140*VLOOKUP('Données projet'!$B$9,Paramètres!$A$1:$I$89,3,0)*0.475*44/12</f>
        <v>0</v>
      </c>
      <c r="AC140" s="24">
        <f t="shared" si="111"/>
        <v>0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-1.1368683772161603E-13</v>
      </c>
      <c r="AJ140" s="14">
        <f>AI140*VLOOKUP('Données projet'!$B$10,Paramètres!$A$1:$I$89,3,0)*VLOOKUP('Données projet'!$B$10,Paramètres!$A$1:$I$89,5,0)</f>
        <v>-9.9316821433603781E-14</v>
      </c>
      <c r="AK140" s="14" t="e">
        <f t="shared" si="143"/>
        <v>#NUM!</v>
      </c>
      <c r="AL140" s="22" t="e">
        <f t="shared" si="112"/>
        <v>#NUM!</v>
      </c>
      <c r="AM140" s="60" t="e">
        <f t="shared" si="113"/>
        <v>#NUM!</v>
      </c>
      <c r="AN140" s="60">
        <f ca="1">AVERAGE(OFFSET($AM$3,0,0,'Données projet'!$E$10+1,1))-AVERAGE(OFFSET($H$3,0,0,'Données projet'!$E$10+1,1))</f>
        <v>274.66236526869056</v>
      </c>
      <c r="AO140" s="60">
        <f t="shared" si="144"/>
        <v>256.90876395053073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>
        <f>EXP(-LN(2)/35)*AU139+(1-EXP(-LN(2)/35))/(LN(2)/35)*AQ140*AR140*VLOOKUP('Données projet'!$B$10,Paramètres!$A$1:$I$89,3,0)*0.475*44/12</f>
        <v>0</v>
      </c>
      <c r="AV140" s="23">
        <f>EXP(-LN(2)/25)*AV139+(1-EXP(-LN(2)/25))/(LN(2)/25)*Calculateur!AQ140*Calculateur!AS140*VLOOKUP('Données projet'!$B$10,Paramètres!$A$1:$I$89,3,0)*0.475*44/12</f>
        <v>0</v>
      </c>
      <c r="AW140" s="23">
        <f>EXP(-LN(2)/2)*AW139+(1-EXP(-LN(2)/2))/(LN(2)/2)*AQ140*AT140*VLOOKUP('Données projet'!$B$10,Paramètres!$A$1:$I$89,3,0)*0.475*44/12</f>
        <v>0</v>
      </c>
      <c r="AX140" s="23">
        <f t="shared" si="114"/>
        <v>0</v>
      </c>
      <c r="AY140" s="76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3.8</v>
      </c>
      <c r="BD140" s="13">
        <f>IF('Données projet'!$A$88&gt;35,BD139+BC140-BL139,IF(A140&lt;'Données projet'!$A$88,$BA$205^A140,IF(A140='Données projet'!$A$88,'Données projet'!$B$88,BD139+BC140-BL139)))</f>
        <v>329.59999999999985</v>
      </c>
      <c r="BE140" s="14">
        <f>BD140*VLOOKUP('Données projet'!$B$11,Paramètres!$A$1:$I$89,3,0)*VLOOKUP('Données projet'!$B$11,Paramètres!$A$1:$I$89,5,0)</f>
        <v>298.22207999999983</v>
      </c>
      <c r="BF140" s="14">
        <f t="shared" si="145"/>
        <v>70.803614311231783</v>
      </c>
      <c r="BG140" s="22">
        <f t="shared" si="115"/>
        <v>642.71975092539503</v>
      </c>
      <c r="BH140" s="60">
        <f t="shared" si="116"/>
        <v>936.0530842587284</v>
      </c>
      <c r="BI140" s="60">
        <f ca="1">AVERAGE(OFFSET($BH$3,0,0,'Données projet'!$E$11+1,1))-AVERAGE(OFFSET($H$3,0,0,'Données projet'!$E$11+1,1))</f>
        <v>529.25712986118265</v>
      </c>
      <c r="BJ140" s="60">
        <f t="shared" si="146"/>
        <v>278.21741231699929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>
        <f>EXP(-LN(2)/35)*BP139+(1-EXP(-LN(2)/35))/(LN(2)/35)*BL140*BM140*VLOOKUP('Données projet'!$B$11,Paramètres!$A$1:$I$89,3,0)*0.475*44/12</f>
        <v>0</v>
      </c>
      <c r="BQ140" s="23">
        <f>EXP(-LN(2)/25)*BQ139+(1-EXP(-LN(2)/25))/(LN(2)/25)*Calculateur!BL140*Calculateur!BN140*VLOOKUP('Données projet'!$B$11,Paramètres!$A$1:$I$89,3,0)*0.475*44/12</f>
        <v>0</v>
      </c>
      <c r="BR140" s="23">
        <f>EXP(-LN(2)/2)*BR139+(1-EXP(-LN(2)/2))/(LN(2)/2)*BL140*BO140*VLOOKUP('Données projet'!$B$11,Paramètres!$A$1:$I$89,3,0)*0.475*44/12</f>
        <v>0</v>
      </c>
      <c r="BS140" s="24">
        <f t="shared" si="117"/>
        <v>0</v>
      </c>
      <c r="BT140" s="77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3.8</v>
      </c>
      <c r="BY140" s="13">
        <f>IF('Données projet'!$A$114&gt;35,BY139+BX140-CG139,IF(A140&lt;'Données projet'!$A$114,$BV$205^A140,IF(A140='Données projet'!$A$114,'Données projet'!$B$114,BY139+BX140-CG139)))</f>
        <v>329.59999999999985</v>
      </c>
      <c r="BZ140" s="14">
        <f>BY140*VLOOKUP('Données projet'!$B$12,Paramètres!$A$1:$I$89,3,0)*VLOOKUP('Données projet'!$B$12,Paramètres!$A$1:$I$89,5,0)</f>
        <v>334.2143999999999</v>
      </c>
      <c r="CA140" s="14">
        <f t="shared" si="147"/>
        <v>78.303413449724431</v>
      </c>
      <c r="CB140" s="22">
        <f t="shared" si="118"/>
        <v>718.46852509160317</v>
      </c>
      <c r="CC140" s="60">
        <f t="shared" si="119"/>
        <v>1011.8018584249364</v>
      </c>
      <c r="CD140" s="60">
        <f ca="1">AVERAGE(OFFSET($CC$3,0,0,'Données projet'!$E$12+1,1))-AVERAGE(OFFSET($H$3,0,0,'Données projet'!$E$12+1,1))</f>
        <v>587.74247372331615</v>
      </c>
      <c r="CE140" s="60">
        <f t="shared" si="148"/>
        <v>306.61893266146666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>
        <f>EXP(-LN(2)/35)*CK139+(1-EXP(-LN(2)/35))/(LN(2)/35)*CG140*CH140*VLOOKUP('Données projet'!$B$12,Paramètres!$A$1:$I$89,3,0)*0.475*44/12</f>
        <v>0</v>
      </c>
      <c r="CL140" s="23">
        <f>EXP(-LN(2)/25)*CL139+(1-EXP(-LN(2)/25))/(LN(2)/25)*Calculateur!CG140*Calculateur!CI140*VLOOKUP('Données projet'!$B$12,Paramètres!$A$1:$I$89,3,0)*0.475*44/12</f>
        <v>0</v>
      </c>
      <c r="CM140" s="23">
        <f>EXP(-LN(2)/2)*CM139+(1-EXP(-LN(2)/2))/(LN(2)/2)*CG140*CJ140*VLOOKUP('Données projet'!$B$12,Paramètres!$A$1:$I$89,3,0)*0.475*44/12</f>
        <v>0</v>
      </c>
      <c r="CN140" s="24">
        <f t="shared" si="120"/>
        <v>0</v>
      </c>
      <c r="CO140" s="77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3.8</v>
      </c>
      <c r="CT140" s="13">
        <f>IF('Données projet'!$A$140&gt;35,CT139+CS140-DB139,IF(A140&lt;'Données projet'!$A$140,$CQ$205^A140,IF(A140='Données projet'!$A$140,'Données projet'!$B$140,CT139+CS140-DB139)))</f>
        <v>329.59999999999985</v>
      </c>
      <c r="CU140" s="18">
        <f>CT140*VLOOKUP('Données projet'!$B$13,Paramètres!$A$1:$I$89,3,0)*VLOOKUP('Données projet'!$B$13,Paramètres!$A$1:$I$89,5,0)</f>
        <v>354.78143999999986</v>
      </c>
      <c r="CV140" s="14">
        <f t="shared" si="149"/>
        <v>82.546280543216994</v>
      </c>
      <c r="CW140" s="22">
        <f t="shared" si="121"/>
        <v>761.67911327943602</v>
      </c>
      <c r="CX140" s="60">
        <f t="shared" si="122"/>
        <v>1055.0124466127693</v>
      </c>
      <c r="CY140" s="60">
        <f ca="1">AVERAGE(OFFSET($CX$3,0,0,'Données projet'!$E$13+1,1))-AVERAGE(OFFSET($H$3,0,0,'Données projet'!$E$13+1,1))</f>
        <v>621.10465023992288</v>
      </c>
      <c r="CZ140" s="60">
        <f t="shared" si="150"/>
        <v>322.81767004794284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>
        <f>EXP(-LN(2)/35)*DF139+(1-EXP(-LN(2)/35))/(LN(2)/35)*DB140*DC140*VLOOKUP('Données projet'!$B$13,Paramètres!$A$1:$I$89,3,0)*0.475*44/12</f>
        <v>0</v>
      </c>
      <c r="DG140" s="23">
        <f>EXP(-LN(2)/25)*DG139+(1-EXP(-LN(2)/25))/(LN(2)/25)*Calculateur!DB140*Calculateur!DD140*VLOOKUP('Données projet'!$B$13,Paramètres!$A$1:$I$89,3,0)*0.475*44/12</f>
        <v>0</v>
      </c>
      <c r="DH140" s="23">
        <f>EXP(-LN(2)/2)*DH139+(1-EXP(-LN(2)/2))/(LN(2)/2)*DB140*DE140*VLOOKUP('Données projet'!$B$13,Paramètres!$A$1:$I$89,3,0)*0.475*44/12</f>
        <v>0</v>
      </c>
      <c r="DI140" s="24">
        <f t="shared" si="123"/>
        <v>0</v>
      </c>
      <c r="DJ140" s="77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3.8</v>
      </c>
      <c r="DO140" s="13">
        <f>IF('Données projet'!$A$166&gt;35,DO139+DN140-DW139,IF(A140&lt;'Données projet'!$A$166,$DL$205^A140,IF(A140='Données projet'!$A$166,'Données projet'!$B$166,DO139+DN140-DW139)))</f>
        <v>329.59999999999985</v>
      </c>
      <c r="DP140" s="18">
        <f>DO140*VLOOKUP('Données projet'!$B$14,Paramètres!$A$1:$I$89,3,0)*VLOOKUP('Données projet'!$B$14,Paramètres!$A$1:$I$89,5,0)</f>
        <v>318.78911999999991</v>
      </c>
      <c r="DQ140" s="14">
        <f t="shared" si="151"/>
        <v>75.101350965570944</v>
      </c>
      <c r="DR140" s="22">
        <f t="shared" si="124"/>
        <v>686.02590359836915</v>
      </c>
      <c r="DS140" s="60">
        <f t="shared" si="125"/>
        <v>979.35923693170253</v>
      </c>
      <c r="DT140" s="60">
        <f ca="1">AVERAGE(OFFSET($DS$3,0,0,'Données projet'!$E$14+1,1))-AVERAGE(OFFSET($H$3,0,0,'Données projet'!$E$14+1,1))</f>
        <v>562.69380557620775</v>
      </c>
      <c r="DU140" s="60">
        <f t="shared" si="152"/>
        <v>294.45557293177131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>
        <f>EXP(-LN(2)/35)*EA139+(1-EXP(-LN(2)/35))/(LN(2)/35)*DW140*DX140*VLOOKUP('Données projet'!$B$14,Paramètres!$A$1:$I$89,3,0)*0.475*44/12</f>
        <v>0</v>
      </c>
      <c r="EB140" s="23">
        <f>EXP(-LN(2)/25)*EB139+(1-EXP(-LN(2)/25))/(LN(2)/25)*Calculateur!DW140*Calculateur!DY140*VLOOKUP('Données projet'!$B$14,Paramètres!$A$1:$I$89,3,0)*0.475*44/12</f>
        <v>0</v>
      </c>
      <c r="EC140" s="23">
        <f>EXP(-LN(2)/2)*EC139+(1-EXP(-LN(2)/2))/(LN(2)/2)*DW140*DZ140*VLOOKUP('Données projet'!$B$14,Paramètres!$A$1:$I$89,3,0)*0.475*44/12</f>
        <v>0</v>
      </c>
      <c r="ED140" s="24">
        <f t="shared" si="126"/>
        <v>0</v>
      </c>
      <c r="EE140" s="77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1.1368683772161603E-13</v>
      </c>
      <c r="EK140" s="18">
        <f>EJ140*VLOOKUP('Données projet'!$B$15,Paramètres!$A$1:$I$89,3,0)*VLOOKUP('Données projet'!$B$15,Paramètres!$A$1:$I$89,5,0)</f>
        <v>8.8675733422860506E-14</v>
      </c>
      <c r="EL140" s="14">
        <f t="shared" si="153"/>
        <v>1.3509285393066301E-12</v>
      </c>
      <c r="EM140" s="22">
        <f t="shared" si="127"/>
        <v>2.5073107750038623E-12</v>
      </c>
      <c r="EN140" s="60">
        <f t="shared" si="128"/>
        <v>293.33333333333582</v>
      </c>
      <c r="EO140" s="60">
        <f ca="1">AVERAGE(OFFSET($EN$3,0,0,'Données projet'!$E$15+1,1))-AVERAGE(OFFSET($H$3,0,0,'Données projet'!$E$15+1,1))</f>
        <v>292.57482726862594</v>
      </c>
      <c r="EP140" s="60">
        <f t="shared" si="154"/>
        <v>283.48738729114024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>
        <f>EXP(-LN(2)/35)*EV139+(1-EXP(-LN(2)/35))/(LN(2)/35)*ER140*ES140*VLOOKUP('Données projet'!$B$15,Paramètres!$A$1:$I$89,3,0)*0.475*44/12</f>
        <v>0</v>
      </c>
      <c r="EW140" s="23">
        <f>EXP(-LN(2)/25)*EW139+(1-EXP(-LN(2)/25))/(LN(2)/25)*Calculateur!ER140*Calculateur!ET140*VLOOKUP('Données projet'!$B$15,Paramètres!$A$1:$I$89,3,0)*0.475*44/12</f>
        <v>0</v>
      </c>
      <c r="EX140" s="23">
        <f>EXP(-LN(2)/2)*EX139+(1-EXP(-LN(2)/2))/(LN(2)/2)*ER140*EU140*VLOOKUP('Données projet'!$B$15,Paramètres!$A$1:$I$89,3,0)*0.475*44/12</f>
        <v>0</v>
      </c>
      <c r="EY140" s="24">
        <f t="shared" si="129"/>
        <v>0</v>
      </c>
      <c r="EZ140" s="77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0" t="e">
        <f t="shared" si="131"/>
        <v>#N/A</v>
      </c>
      <c r="FJ140" s="60" t="e">
        <f ca="1">AVERAGE(OFFSET($FI$3,0,0,'Données projet'!$E$16+1,1))-AVERAGE(OFFSET($H$3,0,0,'Données projet'!$E$16+1,1))</f>
        <v>#N/A</v>
      </c>
      <c r="FK140" s="60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77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0" t="e">
        <f t="shared" si="134"/>
        <v>#N/A</v>
      </c>
      <c r="GE140" s="60" t="e">
        <f ca="1">AVERAGE(OFFSET($GD$3,0,0,'Données projet'!$E$17+1,1))-AVERAGE(OFFSET($H$3,0,0,'Données projet'!$E$17+1,1))</f>
        <v>#N/A</v>
      </c>
      <c r="GF140" s="60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77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0" t="e">
        <f t="shared" si="137"/>
        <v>#N/A</v>
      </c>
      <c r="GZ140" s="60" t="e">
        <f ca="1">AVERAGE(OFFSET($GY$3,0,0,'Données projet'!$E$18+1,1))-AVERAGE(OFFSET($H$3,0,0,'Données projet'!$E$18+1,1))</f>
        <v>#N/A</v>
      </c>
      <c r="HA140" s="60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25">
      <c r="A141" s="11">
        <f t="shared" si="139"/>
        <v>138</v>
      </c>
      <c r="B141" s="74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2">
        <f t="shared" si="140"/>
        <v>0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0</v>
      </c>
      <c r="H141" s="67">
        <f t="shared" si="110"/>
        <v>256.66666666666669</v>
      </c>
      <c r="I141" s="7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1.1368683772161603E-13</v>
      </c>
      <c r="O141" s="14">
        <f>N141*VLOOKUP('Données projet'!$B$9,Paramètres!$A$1:$I$89,3,0)*VLOOKUP('Données projet'!$B$9,Paramètres!$A$1:$I$89,5,0)</f>
        <v>1.0818439477588981E-13</v>
      </c>
      <c r="P141" s="14">
        <f t="shared" si="141"/>
        <v>1.6104228458716316E-12</v>
      </c>
      <c r="Q141" s="22">
        <f t="shared" si="108"/>
        <v>2.9932409441277661E-12</v>
      </c>
      <c r="R141" s="60">
        <f t="shared" si="109"/>
        <v>293.33333333333633</v>
      </c>
      <c r="S141" s="60">
        <f ca="1">AVERAGE(OFFSET($R$3,0,0,'Données projet'!$E$9+1,1))-AVERAGE(OFFSET($H$3,0,0,'Données projet'!$E$9+1,1))</f>
        <v>403.49781966317852</v>
      </c>
      <c r="T141" s="60">
        <f t="shared" si="142"/>
        <v>326.06674572505409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0</v>
      </c>
      <c r="AA141" s="23">
        <f>EXP(-LN(2)/25)*AA140+(1-EXP(-LN(2)/25))/(LN(2)/25)*Calculateur!V141*Calculateur!X141*VLOOKUP('Données projet'!$B$9,Paramètres!$A$1:$I$89,3,0)*0.475*44/12</f>
        <v>0</v>
      </c>
      <c r="AB141" s="23">
        <f>EXP(-LN(2)/2)*AB140+(1-EXP(-LN(2)/2))/(LN(2)/2)*V141*Y141*VLOOKUP('Données projet'!$B$9,Paramètres!$A$1:$I$89,3,0)*0.475*44/12</f>
        <v>0</v>
      </c>
      <c r="AC141" s="24">
        <f t="shared" si="111"/>
        <v>0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-1.1368683772161603E-13</v>
      </c>
      <c r="AJ141" s="14">
        <f>AI141*VLOOKUP('Données projet'!$B$10,Paramètres!$A$1:$I$89,3,0)*VLOOKUP('Données projet'!$B$10,Paramètres!$A$1:$I$89,5,0)</f>
        <v>-9.9316821433603781E-14</v>
      </c>
      <c r="AK141" s="14" t="e">
        <f t="shared" si="143"/>
        <v>#NUM!</v>
      </c>
      <c r="AL141" s="22" t="e">
        <f t="shared" si="112"/>
        <v>#NUM!</v>
      </c>
      <c r="AM141" s="60" t="e">
        <f t="shared" si="113"/>
        <v>#NUM!</v>
      </c>
      <c r="AN141" s="60">
        <f ca="1">AVERAGE(OFFSET($AM$3,0,0,'Données projet'!$E$10+1,1))-AVERAGE(OFFSET($H$3,0,0,'Données projet'!$E$10+1,1))</f>
        <v>274.66236526869056</v>
      </c>
      <c r="AO141" s="60">
        <f t="shared" si="144"/>
        <v>256.90876395053073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>
        <f>EXP(-LN(2)/35)*AU140+(1-EXP(-LN(2)/35))/(LN(2)/35)*AQ141*AR141*VLOOKUP('Données projet'!$B$10,Paramètres!$A$1:$I$89,3,0)*0.475*44/12</f>
        <v>0</v>
      </c>
      <c r="AV141" s="23">
        <f>EXP(-LN(2)/25)*AV140+(1-EXP(-LN(2)/25))/(LN(2)/25)*Calculateur!AQ141*Calculateur!AS141*VLOOKUP('Données projet'!$B$10,Paramètres!$A$1:$I$89,3,0)*0.475*44/12</f>
        <v>0</v>
      </c>
      <c r="AW141" s="23">
        <f>EXP(-LN(2)/2)*AW140+(1-EXP(-LN(2)/2))/(LN(2)/2)*AQ141*AT141*VLOOKUP('Données projet'!$B$10,Paramètres!$A$1:$I$89,3,0)*0.475*44/12</f>
        <v>0</v>
      </c>
      <c r="AX141" s="23">
        <f t="shared" si="114"/>
        <v>0</v>
      </c>
      <c r="AY141" s="76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3.8</v>
      </c>
      <c r="BD141" s="13">
        <f>IF('Données projet'!$A$88&gt;35,BD140+BC141-BL140,IF(A141&lt;'Données projet'!$A$88,$BA$205^A141,IF(A141='Données projet'!$A$88,'Données projet'!$B$88,BD140+BC141-BL140)))</f>
        <v>333.39999999999986</v>
      </c>
      <c r="BE141" s="14">
        <f>BD141*VLOOKUP('Données projet'!$B$11,Paramètres!$A$1:$I$89,3,0)*VLOOKUP('Données projet'!$B$11,Paramètres!$A$1:$I$89,5,0)</f>
        <v>301.66031999999984</v>
      </c>
      <c r="BF141" s="14">
        <f t="shared" si="145"/>
        <v>71.524418438455001</v>
      </c>
      <c r="BG141" s="22">
        <f t="shared" si="115"/>
        <v>649.96341944697554</v>
      </c>
      <c r="BH141" s="60">
        <f t="shared" si="116"/>
        <v>943.29675278030891</v>
      </c>
      <c r="BI141" s="60">
        <f ca="1">AVERAGE(OFFSET($BH$3,0,0,'Données projet'!$E$11+1,1))-AVERAGE(OFFSET($H$3,0,0,'Données projet'!$E$11+1,1))</f>
        <v>529.25712986118265</v>
      </c>
      <c r="BJ141" s="60">
        <f t="shared" si="146"/>
        <v>278.21741231699929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>
        <f>EXP(-LN(2)/35)*BP140+(1-EXP(-LN(2)/35))/(LN(2)/35)*BL141*BM141*VLOOKUP('Données projet'!$B$11,Paramètres!$A$1:$I$89,3,0)*0.475*44/12</f>
        <v>0</v>
      </c>
      <c r="BQ141" s="23">
        <f>EXP(-LN(2)/25)*BQ140+(1-EXP(-LN(2)/25))/(LN(2)/25)*Calculateur!BL141*Calculateur!BN141*VLOOKUP('Données projet'!$B$11,Paramètres!$A$1:$I$89,3,0)*0.475*44/12</f>
        <v>0</v>
      </c>
      <c r="BR141" s="23">
        <f>EXP(-LN(2)/2)*BR140+(1-EXP(-LN(2)/2))/(LN(2)/2)*BL141*BO141*VLOOKUP('Données projet'!$B$11,Paramètres!$A$1:$I$89,3,0)*0.475*44/12</f>
        <v>0</v>
      </c>
      <c r="BS141" s="24">
        <f t="shared" si="117"/>
        <v>0</v>
      </c>
      <c r="BT141" s="77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3.8</v>
      </c>
      <c r="BY141" s="13">
        <f>IF('Données projet'!$A$114&gt;35,BY140+BX141-CG140,IF(A141&lt;'Données projet'!$A$114,$BV$205^A141,IF(A141='Données projet'!$A$114,'Données projet'!$B$114,BY140+BX141-CG140)))</f>
        <v>333.39999999999986</v>
      </c>
      <c r="BZ141" s="14">
        <f>BY141*VLOOKUP('Données projet'!$B$12,Paramètres!$A$1:$I$89,3,0)*VLOOKUP('Données projet'!$B$12,Paramètres!$A$1:$I$89,5,0)</f>
        <v>338.06759999999991</v>
      </c>
      <c r="CA141" s="14">
        <f t="shared" si="147"/>
        <v>79.100568003757829</v>
      </c>
      <c r="CB141" s="22">
        <f t="shared" si="118"/>
        <v>726.56789260654466</v>
      </c>
      <c r="CC141" s="60">
        <f t="shared" si="119"/>
        <v>1019.901225939878</v>
      </c>
      <c r="CD141" s="60">
        <f ca="1">AVERAGE(OFFSET($CC$3,0,0,'Données projet'!$E$12+1,1))-AVERAGE(OFFSET($H$3,0,0,'Données projet'!$E$12+1,1))</f>
        <v>587.74247372331615</v>
      </c>
      <c r="CE141" s="60">
        <f t="shared" si="148"/>
        <v>306.61893266146666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>
        <f>EXP(-LN(2)/35)*CK140+(1-EXP(-LN(2)/35))/(LN(2)/35)*CG141*CH141*VLOOKUP('Données projet'!$B$12,Paramètres!$A$1:$I$89,3,0)*0.475*44/12</f>
        <v>0</v>
      </c>
      <c r="CL141" s="23">
        <f>EXP(-LN(2)/25)*CL140+(1-EXP(-LN(2)/25))/(LN(2)/25)*Calculateur!CG141*Calculateur!CI141*VLOOKUP('Données projet'!$B$12,Paramètres!$A$1:$I$89,3,0)*0.475*44/12</f>
        <v>0</v>
      </c>
      <c r="CM141" s="23">
        <f>EXP(-LN(2)/2)*CM140+(1-EXP(-LN(2)/2))/(LN(2)/2)*CG141*CJ141*VLOOKUP('Données projet'!$B$12,Paramètres!$A$1:$I$89,3,0)*0.475*44/12</f>
        <v>0</v>
      </c>
      <c r="CN141" s="24">
        <f t="shared" si="120"/>
        <v>0</v>
      </c>
      <c r="CO141" s="77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3.8</v>
      </c>
      <c r="CT141" s="13">
        <f>IF('Données projet'!$A$140&gt;35,CT140+CS141-DB140,IF(A141&lt;'Données projet'!$A$140,$CQ$205^A141,IF(A141='Données projet'!$A$140,'Données projet'!$B$140,CT140+CS141-DB140)))</f>
        <v>333.39999999999986</v>
      </c>
      <c r="CU141" s="18">
        <f>CT141*VLOOKUP('Données projet'!$B$13,Paramètres!$A$1:$I$89,3,0)*VLOOKUP('Données projet'!$B$13,Paramètres!$A$1:$I$89,5,0)</f>
        <v>358.87175999999982</v>
      </c>
      <c r="CV141" s="14">
        <f t="shared" si="149"/>
        <v>83.386628882511204</v>
      </c>
      <c r="CW141" s="22">
        <f t="shared" si="121"/>
        <v>770.26669397037347</v>
      </c>
      <c r="CX141" s="60">
        <f t="shared" si="122"/>
        <v>1063.6000273037068</v>
      </c>
      <c r="CY141" s="60">
        <f ca="1">AVERAGE(OFFSET($CX$3,0,0,'Données projet'!$E$13+1,1))-AVERAGE(OFFSET($H$3,0,0,'Données projet'!$E$13+1,1))</f>
        <v>621.10465023992288</v>
      </c>
      <c r="CZ141" s="60">
        <f t="shared" si="150"/>
        <v>322.81767004794284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>
        <f>EXP(-LN(2)/35)*DF140+(1-EXP(-LN(2)/35))/(LN(2)/35)*DB141*DC141*VLOOKUP('Données projet'!$B$13,Paramètres!$A$1:$I$89,3,0)*0.475*44/12</f>
        <v>0</v>
      </c>
      <c r="DG141" s="23">
        <f>EXP(-LN(2)/25)*DG140+(1-EXP(-LN(2)/25))/(LN(2)/25)*Calculateur!DB141*Calculateur!DD141*VLOOKUP('Données projet'!$B$13,Paramètres!$A$1:$I$89,3,0)*0.475*44/12</f>
        <v>0</v>
      </c>
      <c r="DH141" s="23">
        <f>EXP(-LN(2)/2)*DH140+(1-EXP(-LN(2)/2))/(LN(2)/2)*DB141*DE141*VLOOKUP('Données projet'!$B$13,Paramètres!$A$1:$I$89,3,0)*0.475*44/12</f>
        <v>0</v>
      </c>
      <c r="DI141" s="24">
        <f t="shared" si="123"/>
        <v>0</v>
      </c>
      <c r="DJ141" s="77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3.8</v>
      </c>
      <c r="DO141" s="13">
        <f>IF('Données projet'!$A$166&gt;35,DO140+DN141-DW140,IF(A141&lt;'Données projet'!$A$166,$DL$205^A141,IF(A141='Données projet'!$A$166,'Données projet'!$B$166,DO140+DN141-DW140)))</f>
        <v>333.39999999999986</v>
      </c>
      <c r="DP141" s="18">
        <f>DO141*VLOOKUP('Données projet'!$B$14,Paramètres!$A$1:$I$89,3,0)*VLOOKUP('Données projet'!$B$14,Paramètres!$A$1:$I$89,5,0)</f>
        <v>322.46447999999987</v>
      </c>
      <c r="DQ141" s="14">
        <f t="shared" si="151"/>
        <v>75.865907468266684</v>
      </c>
      <c r="DR141" s="22">
        <f t="shared" si="124"/>
        <v>693.7587581738976</v>
      </c>
      <c r="DS141" s="60">
        <f t="shared" si="125"/>
        <v>987.09209150723086</v>
      </c>
      <c r="DT141" s="60">
        <f ca="1">AVERAGE(OFFSET($DS$3,0,0,'Données projet'!$E$14+1,1))-AVERAGE(OFFSET($H$3,0,0,'Données projet'!$E$14+1,1))</f>
        <v>562.69380557620775</v>
      </c>
      <c r="DU141" s="60">
        <f t="shared" si="152"/>
        <v>294.45557293177131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>
        <f>EXP(-LN(2)/35)*EA140+(1-EXP(-LN(2)/35))/(LN(2)/35)*DW141*DX141*VLOOKUP('Données projet'!$B$14,Paramètres!$A$1:$I$89,3,0)*0.475*44/12</f>
        <v>0</v>
      </c>
      <c r="EB141" s="23">
        <f>EXP(-LN(2)/25)*EB140+(1-EXP(-LN(2)/25))/(LN(2)/25)*Calculateur!DW141*Calculateur!DY141*VLOOKUP('Données projet'!$B$14,Paramètres!$A$1:$I$89,3,0)*0.475*44/12</f>
        <v>0</v>
      </c>
      <c r="EC141" s="23">
        <f>EXP(-LN(2)/2)*EC140+(1-EXP(-LN(2)/2))/(LN(2)/2)*DW141*DZ141*VLOOKUP('Données projet'!$B$14,Paramètres!$A$1:$I$89,3,0)*0.475*44/12</f>
        <v>0</v>
      </c>
      <c r="ED141" s="24">
        <f t="shared" si="126"/>
        <v>0</v>
      </c>
      <c r="EE141" s="77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1.1368683772161603E-13</v>
      </c>
      <c r="EK141" s="18">
        <f>EJ141*VLOOKUP('Données projet'!$B$15,Paramètres!$A$1:$I$89,3,0)*VLOOKUP('Données projet'!$B$15,Paramètres!$A$1:$I$89,5,0)</f>
        <v>8.8675733422860506E-14</v>
      </c>
      <c r="EL141" s="14">
        <f t="shared" si="153"/>
        <v>1.3509285393066301E-12</v>
      </c>
      <c r="EM141" s="22">
        <f t="shared" si="127"/>
        <v>2.5073107750038623E-12</v>
      </c>
      <c r="EN141" s="60">
        <f t="shared" si="128"/>
        <v>293.33333333333582</v>
      </c>
      <c r="EO141" s="60">
        <f ca="1">AVERAGE(OFFSET($EN$3,0,0,'Données projet'!$E$15+1,1))-AVERAGE(OFFSET($H$3,0,0,'Données projet'!$E$15+1,1))</f>
        <v>292.57482726862594</v>
      </c>
      <c r="EP141" s="60">
        <f t="shared" si="154"/>
        <v>283.48738729114024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>
        <f>EXP(-LN(2)/35)*EV140+(1-EXP(-LN(2)/35))/(LN(2)/35)*ER141*ES141*VLOOKUP('Données projet'!$B$15,Paramètres!$A$1:$I$89,3,0)*0.475*44/12</f>
        <v>0</v>
      </c>
      <c r="EW141" s="23">
        <f>EXP(-LN(2)/25)*EW140+(1-EXP(-LN(2)/25))/(LN(2)/25)*Calculateur!ER141*Calculateur!ET141*VLOOKUP('Données projet'!$B$15,Paramètres!$A$1:$I$89,3,0)*0.475*44/12</f>
        <v>0</v>
      </c>
      <c r="EX141" s="23">
        <f>EXP(-LN(2)/2)*EX140+(1-EXP(-LN(2)/2))/(LN(2)/2)*ER141*EU141*VLOOKUP('Données projet'!$B$15,Paramètres!$A$1:$I$89,3,0)*0.475*44/12</f>
        <v>0</v>
      </c>
      <c r="EY141" s="24">
        <f t="shared" si="129"/>
        <v>0</v>
      </c>
      <c r="EZ141" s="77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0" t="e">
        <f t="shared" si="131"/>
        <v>#N/A</v>
      </c>
      <c r="FJ141" s="60" t="e">
        <f ca="1">AVERAGE(OFFSET($FI$3,0,0,'Données projet'!$E$16+1,1))-AVERAGE(OFFSET($H$3,0,0,'Données projet'!$E$16+1,1))</f>
        <v>#N/A</v>
      </c>
      <c r="FK141" s="60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77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0" t="e">
        <f t="shared" si="134"/>
        <v>#N/A</v>
      </c>
      <c r="GE141" s="60" t="e">
        <f ca="1">AVERAGE(OFFSET($GD$3,0,0,'Données projet'!$E$17+1,1))-AVERAGE(OFFSET($H$3,0,0,'Données projet'!$E$17+1,1))</f>
        <v>#N/A</v>
      </c>
      <c r="GF141" s="60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77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0" t="e">
        <f t="shared" si="137"/>
        <v>#N/A</v>
      </c>
      <c r="GZ141" s="60" t="e">
        <f ca="1">AVERAGE(OFFSET($GY$3,0,0,'Données projet'!$E$18+1,1))-AVERAGE(OFFSET($H$3,0,0,'Données projet'!$E$18+1,1))</f>
        <v>#N/A</v>
      </c>
      <c r="HA141" s="60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25">
      <c r="A142" s="11">
        <f t="shared" si="139"/>
        <v>139</v>
      </c>
      <c r="B142" s="74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2">
        <f t="shared" si="140"/>
        <v>0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0</v>
      </c>
      <c r="H142" s="67">
        <f t="shared" si="110"/>
        <v>256.66666666666669</v>
      </c>
      <c r="I142" s="7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1.1368683772161603E-13</v>
      </c>
      <c r="O142" s="14">
        <f>N142*VLOOKUP('Données projet'!$B$9,Paramètres!$A$1:$I$89,3,0)*VLOOKUP('Données projet'!$B$9,Paramètres!$A$1:$I$89,5,0)</f>
        <v>1.0818439477588981E-13</v>
      </c>
      <c r="P142" s="14">
        <f t="shared" si="141"/>
        <v>1.6104228458716316E-12</v>
      </c>
      <c r="Q142" s="22">
        <f t="shared" si="108"/>
        <v>2.9932409441277661E-12</v>
      </c>
      <c r="R142" s="60">
        <f t="shared" si="109"/>
        <v>293.33333333333633</v>
      </c>
      <c r="S142" s="60">
        <f ca="1">AVERAGE(OFFSET($R$3,0,0,'Données projet'!$E$9+1,1))-AVERAGE(OFFSET($H$3,0,0,'Données projet'!$E$9+1,1))</f>
        <v>403.49781966317852</v>
      </c>
      <c r="T142" s="60">
        <f t="shared" si="142"/>
        <v>326.06674572505409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0</v>
      </c>
      <c r="AA142" s="23">
        <f>EXP(-LN(2)/25)*AA141+(1-EXP(-LN(2)/25))/(LN(2)/25)*Calculateur!V142*Calculateur!X142*VLOOKUP('Données projet'!$B$9,Paramètres!$A$1:$I$89,3,0)*0.475*44/12</f>
        <v>0</v>
      </c>
      <c r="AB142" s="23">
        <f>EXP(-LN(2)/2)*AB141+(1-EXP(-LN(2)/2))/(LN(2)/2)*V142*Y142*VLOOKUP('Données projet'!$B$9,Paramètres!$A$1:$I$89,3,0)*0.475*44/12</f>
        <v>0</v>
      </c>
      <c r="AC142" s="24">
        <f t="shared" si="111"/>
        <v>0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-1.1368683772161603E-13</v>
      </c>
      <c r="AJ142" s="14">
        <f>AI142*VLOOKUP('Données projet'!$B$10,Paramètres!$A$1:$I$89,3,0)*VLOOKUP('Données projet'!$B$10,Paramètres!$A$1:$I$89,5,0)</f>
        <v>-9.9316821433603781E-14</v>
      </c>
      <c r="AK142" s="14" t="e">
        <f t="shared" si="143"/>
        <v>#NUM!</v>
      </c>
      <c r="AL142" s="22" t="e">
        <f t="shared" si="112"/>
        <v>#NUM!</v>
      </c>
      <c r="AM142" s="60" t="e">
        <f t="shared" si="113"/>
        <v>#NUM!</v>
      </c>
      <c r="AN142" s="60">
        <f ca="1">AVERAGE(OFFSET($AM$3,0,0,'Données projet'!$E$10+1,1))-AVERAGE(OFFSET($H$3,0,0,'Données projet'!$E$10+1,1))</f>
        <v>274.66236526869056</v>
      </c>
      <c r="AO142" s="60">
        <f t="shared" si="144"/>
        <v>256.90876395053073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>
        <f>EXP(-LN(2)/35)*AU141+(1-EXP(-LN(2)/35))/(LN(2)/35)*AQ142*AR142*VLOOKUP('Données projet'!$B$10,Paramètres!$A$1:$I$89,3,0)*0.475*44/12</f>
        <v>0</v>
      </c>
      <c r="AV142" s="23">
        <f>EXP(-LN(2)/25)*AV141+(1-EXP(-LN(2)/25))/(LN(2)/25)*Calculateur!AQ142*Calculateur!AS142*VLOOKUP('Données projet'!$B$10,Paramètres!$A$1:$I$89,3,0)*0.475*44/12</f>
        <v>0</v>
      </c>
      <c r="AW142" s="23">
        <f>EXP(-LN(2)/2)*AW141+(1-EXP(-LN(2)/2))/(LN(2)/2)*AQ142*AT142*VLOOKUP('Données projet'!$B$10,Paramètres!$A$1:$I$89,3,0)*0.475*44/12</f>
        <v>0</v>
      </c>
      <c r="AX142" s="23">
        <f t="shared" si="114"/>
        <v>0</v>
      </c>
      <c r="AY142" s="76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3.8</v>
      </c>
      <c r="BD142" s="13">
        <f>IF('Données projet'!$A$88&gt;35,BD141+BC142-BL141,IF(A142&lt;'Données projet'!$A$88,$BA$205^A142,IF(A142='Données projet'!$A$88,'Données projet'!$B$88,BD141+BC142-BL141)))</f>
        <v>337.19999999999987</v>
      </c>
      <c r="BE142" s="14">
        <f>BD142*VLOOKUP('Données projet'!$B$11,Paramètres!$A$1:$I$89,3,0)*VLOOKUP('Données projet'!$B$11,Paramètres!$A$1:$I$89,5,0)</f>
        <v>305.09855999999985</v>
      </c>
      <c r="BF142" s="14">
        <f t="shared" si="145"/>
        <v>72.244266890878791</v>
      </c>
      <c r="BG142" s="22">
        <f t="shared" si="115"/>
        <v>657.20542350161361</v>
      </c>
      <c r="BH142" s="60">
        <f t="shared" si="116"/>
        <v>950.53875683494698</v>
      </c>
      <c r="BI142" s="60">
        <f ca="1">AVERAGE(OFFSET($BH$3,0,0,'Données projet'!$E$11+1,1))-AVERAGE(OFFSET($H$3,0,0,'Données projet'!$E$11+1,1))</f>
        <v>529.25712986118265</v>
      </c>
      <c r="BJ142" s="60">
        <f t="shared" si="146"/>
        <v>278.21741231699929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>
        <f>EXP(-LN(2)/35)*BP141+(1-EXP(-LN(2)/35))/(LN(2)/35)*BL142*BM142*VLOOKUP('Données projet'!$B$11,Paramètres!$A$1:$I$89,3,0)*0.475*44/12</f>
        <v>0</v>
      </c>
      <c r="BQ142" s="23">
        <f>EXP(-LN(2)/25)*BQ141+(1-EXP(-LN(2)/25))/(LN(2)/25)*Calculateur!BL142*Calculateur!BN142*VLOOKUP('Données projet'!$B$11,Paramètres!$A$1:$I$89,3,0)*0.475*44/12</f>
        <v>0</v>
      </c>
      <c r="BR142" s="23">
        <f>EXP(-LN(2)/2)*BR141+(1-EXP(-LN(2)/2))/(LN(2)/2)*BL142*BO142*VLOOKUP('Données projet'!$B$11,Paramètres!$A$1:$I$89,3,0)*0.475*44/12</f>
        <v>0</v>
      </c>
      <c r="BS142" s="24">
        <f t="shared" si="117"/>
        <v>0</v>
      </c>
      <c r="BT142" s="77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3.8</v>
      </c>
      <c r="BY142" s="13">
        <f>IF('Données projet'!$A$114&gt;35,BY141+BX142-CG141,IF(A142&lt;'Données projet'!$A$114,$BV$205^A142,IF(A142='Données projet'!$A$114,'Données projet'!$B$114,BY141+BX142-CG141)))</f>
        <v>337.19999999999987</v>
      </c>
      <c r="BZ142" s="14">
        <f>BY142*VLOOKUP('Données projet'!$B$12,Paramètres!$A$1:$I$89,3,0)*VLOOKUP('Données projet'!$B$12,Paramètres!$A$1:$I$89,5,0)</f>
        <v>341.92079999999987</v>
      </c>
      <c r="CA142" s="14">
        <f t="shared" si="147"/>
        <v>79.896665654133599</v>
      </c>
      <c r="CB142" s="22">
        <f t="shared" si="118"/>
        <v>734.66541934761574</v>
      </c>
      <c r="CC142" s="60">
        <f t="shared" si="119"/>
        <v>1027.9987526809491</v>
      </c>
      <c r="CD142" s="60">
        <f ca="1">AVERAGE(OFFSET($CC$3,0,0,'Données projet'!$E$12+1,1))-AVERAGE(OFFSET($H$3,0,0,'Données projet'!$E$12+1,1))</f>
        <v>587.74247372331615</v>
      </c>
      <c r="CE142" s="60">
        <f t="shared" si="148"/>
        <v>306.61893266146666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>
        <f>EXP(-LN(2)/35)*CK141+(1-EXP(-LN(2)/35))/(LN(2)/35)*CG142*CH142*VLOOKUP('Données projet'!$B$12,Paramètres!$A$1:$I$89,3,0)*0.475*44/12</f>
        <v>0</v>
      </c>
      <c r="CL142" s="23">
        <f>EXP(-LN(2)/25)*CL141+(1-EXP(-LN(2)/25))/(LN(2)/25)*Calculateur!CG142*Calculateur!CI142*VLOOKUP('Données projet'!$B$12,Paramètres!$A$1:$I$89,3,0)*0.475*44/12</f>
        <v>0</v>
      </c>
      <c r="CM142" s="23">
        <f>EXP(-LN(2)/2)*CM141+(1-EXP(-LN(2)/2))/(LN(2)/2)*CG142*CJ142*VLOOKUP('Données projet'!$B$12,Paramètres!$A$1:$I$89,3,0)*0.475*44/12</f>
        <v>0</v>
      </c>
      <c r="CN142" s="24">
        <f t="shared" si="120"/>
        <v>0</v>
      </c>
      <c r="CO142" s="77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3.8</v>
      </c>
      <c r="CT142" s="13">
        <f>IF('Données projet'!$A$140&gt;35,CT141+CS142-DB141,IF(A142&lt;'Données projet'!$A$140,$CQ$205^A142,IF(A142='Données projet'!$A$140,'Données projet'!$B$140,CT141+CS142-DB141)))</f>
        <v>337.19999999999987</v>
      </c>
      <c r="CU142" s="18">
        <f>CT142*VLOOKUP('Données projet'!$B$13,Paramètres!$A$1:$I$89,3,0)*VLOOKUP('Données projet'!$B$13,Paramètres!$A$1:$I$89,5,0)</f>
        <v>362.96207999999984</v>
      </c>
      <c r="CV142" s="14">
        <f t="shared" si="149"/>
        <v>84.225863049868522</v>
      </c>
      <c r="CW142" s="22">
        <f t="shared" si="121"/>
        <v>778.85233414518734</v>
      </c>
      <c r="CX142" s="60">
        <f t="shared" si="122"/>
        <v>1072.1856674785206</v>
      </c>
      <c r="CY142" s="60">
        <f ca="1">AVERAGE(OFFSET($CX$3,0,0,'Données projet'!$E$13+1,1))-AVERAGE(OFFSET($H$3,0,0,'Données projet'!$E$13+1,1))</f>
        <v>621.10465023992288</v>
      </c>
      <c r="CZ142" s="60">
        <f t="shared" si="150"/>
        <v>322.81767004794284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>
        <f>EXP(-LN(2)/35)*DF141+(1-EXP(-LN(2)/35))/(LN(2)/35)*DB142*DC142*VLOOKUP('Données projet'!$B$13,Paramètres!$A$1:$I$89,3,0)*0.475*44/12</f>
        <v>0</v>
      </c>
      <c r="DG142" s="23">
        <f>EXP(-LN(2)/25)*DG141+(1-EXP(-LN(2)/25))/(LN(2)/25)*Calculateur!DB142*Calculateur!DD142*VLOOKUP('Données projet'!$B$13,Paramètres!$A$1:$I$89,3,0)*0.475*44/12</f>
        <v>0</v>
      </c>
      <c r="DH142" s="23">
        <f>EXP(-LN(2)/2)*DH141+(1-EXP(-LN(2)/2))/(LN(2)/2)*DB142*DE142*VLOOKUP('Données projet'!$B$13,Paramètres!$A$1:$I$89,3,0)*0.475*44/12</f>
        <v>0</v>
      </c>
      <c r="DI142" s="24">
        <f t="shared" si="123"/>
        <v>0</v>
      </c>
      <c r="DJ142" s="77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3.8</v>
      </c>
      <c r="DO142" s="13">
        <f>IF('Données projet'!$A$166&gt;35,DO141+DN142-DW141,IF(A142&lt;'Données projet'!$A$166,$DL$205^A142,IF(A142='Données projet'!$A$166,'Données projet'!$B$166,DO141+DN142-DW141)))</f>
        <v>337.19999999999987</v>
      </c>
      <c r="DP142" s="18">
        <f>DO142*VLOOKUP('Données projet'!$B$14,Paramètres!$A$1:$I$89,3,0)*VLOOKUP('Données projet'!$B$14,Paramètres!$A$1:$I$89,5,0)</f>
        <v>326.13983999999988</v>
      </c>
      <c r="DQ142" s="14">
        <f t="shared" si="151"/>
        <v>76.62945028727961</v>
      </c>
      <c r="DR142" s="22">
        <f t="shared" si="124"/>
        <v>701.48984725034506</v>
      </c>
      <c r="DS142" s="60">
        <f t="shared" si="125"/>
        <v>994.82318058367832</v>
      </c>
      <c r="DT142" s="60">
        <f ca="1">AVERAGE(OFFSET($DS$3,0,0,'Données projet'!$E$14+1,1))-AVERAGE(OFFSET($H$3,0,0,'Données projet'!$E$14+1,1))</f>
        <v>562.69380557620775</v>
      </c>
      <c r="DU142" s="60">
        <f t="shared" si="152"/>
        <v>294.45557293177131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>
        <f>EXP(-LN(2)/35)*EA141+(1-EXP(-LN(2)/35))/(LN(2)/35)*DW142*DX142*VLOOKUP('Données projet'!$B$14,Paramètres!$A$1:$I$89,3,0)*0.475*44/12</f>
        <v>0</v>
      </c>
      <c r="EB142" s="23">
        <f>EXP(-LN(2)/25)*EB141+(1-EXP(-LN(2)/25))/(LN(2)/25)*Calculateur!DW142*Calculateur!DY142*VLOOKUP('Données projet'!$B$14,Paramètres!$A$1:$I$89,3,0)*0.475*44/12</f>
        <v>0</v>
      </c>
      <c r="EC142" s="23">
        <f>EXP(-LN(2)/2)*EC141+(1-EXP(-LN(2)/2))/(LN(2)/2)*DW142*DZ142*VLOOKUP('Données projet'!$B$14,Paramètres!$A$1:$I$89,3,0)*0.475*44/12</f>
        <v>0</v>
      </c>
      <c r="ED142" s="24">
        <f t="shared" si="126"/>
        <v>0</v>
      </c>
      <c r="EE142" s="77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1.1368683772161603E-13</v>
      </c>
      <c r="EK142" s="18">
        <f>EJ142*VLOOKUP('Données projet'!$B$15,Paramètres!$A$1:$I$89,3,0)*VLOOKUP('Données projet'!$B$15,Paramètres!$A$1:$I$89,5,0)</f>
        <v>8.8675733422860506E-14</v>
      </c>
      <c r="EL142" s="14">
        <f t="shared" si="153"/>
        <v>1.3509285393066301E-12</v>
      </c>
      <c r="EM142" s="22">
        <f t="shared" si="127"/>
        <v>2.5073107750038623E-12</v>
      </c>
      <c r="EN142" s="60">
        <f t="shared" si="128"/>
        <v>293.33333333333582</v>
      </c>
      <c r="EO142" s="60">
        <f ca="1">AVERAGE(OFFSET($EN$3,0,0,'Données projet'!$E$15+1,1))-AVERAGE(OFFSET($H$3,0,0,'Données projet'!$E$15+1,1))</f>
        <v>292.57482726862594</v>
      </c>
      <c r="EP142" s="60">
        <f t="shared" si="154"/>
        <v>283.48738729114024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>
        <f>EXP(-LN(2)/35)*EV141+(1-EXP(-LN(2)/35))/(LN(2)/35)*ER142*ES142*VLOOKUP('Données projet'!$B$15,Paramètres!$A$1:$I$89,3,0)*0.475*44/12</f>
        <v>0</v>
      </c>
      <c r="EW142" s="23">
        <f>EXP(-LN(2)/25)*EW141+(1-EXP(-LN(2)/25))/(LN(2)/25)*Calculateur!ER142*Calculateur!ET142*VLOOKUP('Données projet'!$B$15,Paramètres!$A$1:$I$89,3,0)*0.475*44/12</f>
        <v>0</v>
      </c>
      <c r="EX142" s="23">
        <f>EXP(-LN(2)/2)*EX141+(1-EXP(-LN(2)/2))/(LN(2)/2)*ER142*EU142*VLOOKUP('Données projet'!$B$15,Paramètres!$A$1:$I$89,3,0)*0.475*44/12</f>
        <v>0</v>
      </c>
      <c r="EY142" s="24">
        <f t="shared" si="129"/>
        <v>0</v>
      </c>
      <c r="EZ142" s="77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0" t="e">
        <f t="shared" si="131"/>
        <v>#N/A</v>
      </c>
      <c r="FJ142" s="60" t="e">
        <f ca="1">AVERAGE(OFFSET($FI$3,0,0,'Données projet'!$E$16+1,1))-AVERAGE(OFFSET($H$3,0,0,'Données projet'!$E$16+1,1))</f>
        <v>#N/A</v>
      </c>
      <c r="FK142" s="60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77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0" t="e">
        <f t="shared" si="134"/>
        <v>#N/A</v>
      </c>
      <c r="GE142" s="60" t="e">
        <f ca="1">AVERAGE(OFFSET($GD$3,0,0,'Données projet'!$E$17+1,1))-AVERAGE(OFFSET($H$3,0,0,'Données projet'!$E$17+1,1))</f>
        <v>#N/A</v>
      </c>
      <c r="GF142" s="60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77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0" t="e">
        <f t="shared" si="137"/>
        <v>#N/A</v>
      </c>
      <c r="GZ142" s="60" t="e">
        <f ca="1">AVERAGE(OFFSET($GY$3,0,0,'Données projet'!$E$18+1,1))-AVERAGE(OFFSET($H$3,0,0,'Données projet'!$E$18+1,1))</f>
        <v>#N/A</v>
      </c>
      <c r="HA142" s="60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25">
      <c r="A143" s="11">
        <f t="shared" si="139"/>
        <v>140</v>
      </c>
      <c r="B143" s="74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2">
        <f t="shared" si="140"/>
        <v>0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0</v>
      </c>
      <c r="H143" s="67">
        <f t="shared" si="110"/>
        <v>256.66666666666669</v>
      </c>
      <c r="I143" s="7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1.1368683772161603E-13</v>
      </c>
      <c r="O143" s="14">
        <f>N143*VLOOKUP('Données projet'!$B$9,Paramètres!$A$1:$I$89,3,0)*VLOOKUP('Données projet'!$B$9,Paramètres!$A$1:$I$89,5,0)</f>
        <v>1.0818439477588981E-13</v>
      </c>
      <c r="P143" s="14">
        <f t="shared" si="141"/>
        <v>1.6104228458716316E-12</v>
      </c>
      <c r="Q143" s="22">
        <f t="shared" si="108"/>
        <v>2.9932409441277661E-12</v>
      </c>
      <c r="R143" s="60">
        <f t="shared" si="109"/>
        <v>293.33333333333633</v>
      </c>
      <c r="S143" s="60">
        <f ca="1">AVERAGE(OFFSET($R$3,0,0,'Données projet'!$E$9+1,1))-AVERAGE(OFFSET($H$3,0,0,'Données projet'!$E$9+1,1))</f>
        <v>403.49781966317852</v>
      </c>
      <c r="T143" s="60">
        <f t="shared" si="142"/>
        <v>326.06674572505409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0</v>
      </c>
      <c r="AA143" s="23">
        <f>EXP(-LN(2)/25)*AA142+(1-EXP(-LN(2)/25))/(LN(2)/25)*Calculateur!V143*Calculateur!X143*VLOOKUP('Données projet'!$B$9,Paramètres!$A$1:$I$89,3,0)*0.475*44/12</f>
        <v>0</v>
      </c>
      <c r="AB143" s="23">
        <f>EXP(-LN(2)/2)*AB142+(1-EXP(-LN(2)/2))/(LN(2)/2)*V143*Y143*VLOOKUP('Données projet'!$B$9,Paramètres!$A$1:$I$89,3,0)*0.475*44/12</f>
        <v>0</v>
      </c>
      <c r="AC143" s="24">
        <f t="shared" si="111"/>
        <v>0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-1.1368683772161603E-13</v>
      </c>
      <c r="AJ143" s="14">
        <f>AI143*VLOOKUP('Données projet'!$B$10,Paramètres!$A$1:$I$89,3,0)*VLOOKUP('Données projet'!$B$10,Paramètres!$A$1:$I$89,5,0)</f>
        <v>-9.9316821433603781E-14</v>
      </c>
      <c r="AK143" s="14" t="e">
        <f t="shared" si="143"/>
        <v>#NUM!</v>
      </c>
      <c r="AL143" s="22" t="e">
        <f t="shared" si="112"/>
        <v>#NUM!</v>
      </c>
      <c r="AM143" s="60" t="e">
        <f t="shared" si="113"/>
        <v>#NUM!</v>
      </c>
      <c r="AN143" s="60">
        <f ca="1">AVERAGE(OFFSET($AM$3,0,0,'Données projet'!$E$10+1,1))-AVERAGE(OFFSET($H$3,0,0,'Données projet'!$E$10+1,1))</f>
        <v>274.66236526869056</v>
      </c>
      <c r="AO143" s="60">
        <f t="shared" si="144"/>
        <v>256.90876395053073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>
        <f>EXP(-LN(2)/35)*AU142+(1-EXP(-LN(2)/35))/(LN(2)/35)*AQ143*AR143*VLOOKUP('Données projet'!$B$10,Paramètres!$A$1:$I$89,3,0)*0.475*44/12</f>
        <v>0</v>
      </c>
      <c r="AV143" s="23">
        <f>EXP(-LN(2)/25)*AV142+(1-EXP(-LN(2)/25))/(LN(2)/25)*Calculateur!AQ143*Calculateur!AS143*VLOOKUP('Données projet'!$B$10,Paramètres!$A$1:$I$89,3,0)*0.475*44/12</f>
        <v>0</v>
      </c>
      <c r="AW143" s="23">
        <f>EXP(-LN(2)/2)*AW142+(1-EXP(-LN(2)/2))/(LN(2)/2)*AQ143*AT143*VLOOKUP('Données projet'!$B$10,Paramètres!$A$1:$I$89,3,0)*0.475*44/12</f>
        <v>0</v>
      </c>
      <c r="AX143" s="23">
        <f t="shared" si="114"/>
        <v>0</v>
      </c>
      <c r="AY143" s="76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>
        <f>VLOOKUP(A143,'Données projet'!$A$87:$I$107,2,0)</f>
        <v>341</v>
      </c>
      <c r="BB143" s="13">
        <f>VLOOKUP(A143,'Données projet'!$A$87:$I$107,9,0)</f>
        <v>3.8</v>
      </c>
      <c r="BC143" s="13">
        <f t="array" ref="BC143">INDEX(BB:BB,MIN(IF(ISNUMBER(BB143:BB339),ROW(BB143:BB339),"")))</f>
        <v>3.8</v>
      </c>
      <c r="BD143" s="13">
        <f>IF('Données projet'!$A$88&gt;35,BD142+BC143-BL142,IF(A143&lt;'Données projet'!$A$88,$BA$205^A143,IF(A143='Données projet'!$A$88,'Données projet'!$B$88,BD142+BC143-BL142)))</f>
        <v>340.99999999999989</v>
      </c>
      <c r="BE143" s="14">
        <f>BD143*VLOOKUP('Données projet'!$B$11,Paramètres!$A$1:$I$89,3,0)*VLOOKUP('Données projet'!$B$11,Paramètres!$A$1:$I$89,5,0)</f>
        <v>308.53679999999986</v>
      </c>
      <c r="BF143" s="14">
        <f t="shared" si="145"/>
        <v>72.963171684496103</v>
      </c>
      <c r="BG143" s="22">
        <f t="shared" si="115"/>
        <v>664.44578401716376</v>
      </c>
      <c r="BH143" s="60">
        <f t="shared" si="116"/>
        <v>957.77911735049702</v>
      </c>
      <c r="BI143" s="60">
        <f ca="1">AVERAGE(OFFSET($BH$3,0,0,'Données projet'!$E$11+1,1))-AVERAGE(OFFSET($H$3,0,0,'Données projet'!$E$11+1,1))</f>
        <v>529.25712986118265</v>
      </c>
      <c r="BJ143" s="60">
        <f t="shared" si="146"/>
        <v>278.21741231699929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>
        <f>EXP(-LN(2)/35)*BP142+(1-EXP(-LN(2)/35))/(LN(2)/35)*BL143*BM143*VLOOKUP('Données projet'!$B$11,Paramètres!$A$1:$I$89,3,0)*0.475*44/12</f>
        <v>0</v>
      </c>
      <c r="BQ143" s="23">
        <f>EXP(-LN(2)/25)*BQ142+(1-EXP(-LN(2)/25))/(LN(2)/25)*Calculateur!BL143*Calculateur!BN143*VLOOKUP('Données projet'!$B$11,Paramètres!$A$1:$I$89,3,0)*0.475*44/12</f>
        <v>0</v>
      </c>
      <c r="BR143" s="23">
        <f>EXP(-LN(2)/2)*BR142+(1-EXP(-LN(2)/2))/(LN(2)/2)*BL143*BO143*VLOOKUP('Données projet'!$B$11,Paramètres!$A$1:$I$89,3,0)*0.475*44/12</f>
        <v>0</v>
      </c>
      <c r="BS143" s="24">
        <f t="shared" si="117"/>
        <v>0</v>
      </c>
      <c r="BT143" s="77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>
        <f>VLOOKUP(A143,'Données projet'!$A$113:$I$133,2,0)</f>
        <v>341</v>
      </c>
      <c r="BW143" s="13">
        <f>VLOOKUP(A143,'Données projet'!$A$113:$I$133,9,0)</f>
        <v>3.8</v>
      </c>
      <c r="BX143" s="13">
        <f t="array" ref="BX143">INDEX(BW:BW,MIN(IF(ISNUMBER(BW143:BW339),ROW(BW143:BW339),"")))</f>
        <v>3.8</v>
      </c>
      <c r="BY143" s="13">
        <f>IF('Données projet'!$A$114&gt;35,BY142+BX143-CG142,IF(A143&lt;'Données projet'!$A$114,$BV$205^A143,IF(A143='Données projet'!$A$114,'Données projet'!$B$114,BY142+BX143-CG142)))</f>
        <v>340.99999999999989</v>
      </c>
      <c r="BZ143" s="14">
        <f>BY143*VLOOKUP('Données projet'!$B$12,Paramètres!$A$1:$I$89,3,0)*VLOOKUP('Données projet'!$B$12,Paramètres!$A$1:$I$89,5,0)</f>
        <v>345.77399999999989</v>
      </c>
      <c r="CA143" s="14">
        <f t="shared" si="147"/>
        <v>80.691719689626183</v>
      </c>
      <c r="CB143" s="22">
        <f t="shared" si="118"/>
        <v>742.76112845943214</v>
      </c>
      <c r="CC143" s="60">
        <f t="shared" si="119"/>
        <v>1036.0944617927655</v>
      </c>
      <c r="CD143" s="60">
        <f ca="1">AVERAGE(OFFSET($CC$3,0,0,'Données projet'!$E$12+1,1))-AVERAGE(OFFSET($H$3,0,0,'Données projet'!$E$12+1,1))</f>
        <v>587.74247372331615</v>
      </c>
      <c r="CE143" s="60">
        <f t="shared" si="148"/>
        <v>306.61893266146666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>
        <f>EXP(-LN(2)/35)*CK142+(1-EXP(-LN(2)/35))/(LN(2)/35)*CG143*CH143*VLOOKUP('Données projet'!$B$12,Paramètres!$A$1:$I$89,3,0)*0.475*44/12</f>
        <v>0</v>
      </c>
      <c r="CL143" s="23">
        <f>EXP(-LN(2)/25)*CL142+(1-EXP(-LN(2)/25))/(LN(2)/25)*Calculateur!CG143*Calculateur!CI143*VLOOKUP('Données projet'!$B$12,Paramètres!$A$1:$I$89,3,0)*0.475*44/12</f>
        <v>0</v>
      </c>
      <c r="CM143" s="23">
        <f>EXP(-LN(2)/2)*CM142+(1-EXP(-LN(2)/2))/(LN(2)/2)*CG143*CJ143*VLOOKUP('Données projet'!$B$12,Paramètres!$A$1:$I$89,3,0)*0.475*44/12</f>
        <v>0</v>
      </c>
      <c r="CN143" s="24">
        <f t="shared" si="120"/>
        <v>0</v>
      </c>
      <c r="CO143" s="77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>
        <f>VLOOKUP(A143,'Données projet'!$A$139:$I$159,2,0)</f>
        <v>341</v>
      </c>
      <c r="CR143" s="13">
        <f>VLOOKUP(A143,'Données projet'!$A$139:$I$159,9,0)</f>
        <v>3.8</v>
      </c>
      <c r="CS143" s="13">
        <f t="array" ref="CS143">INDEX(CR:CR,MIN(IF(ISNUMBER(CR143:CR339),ROW(CR143:CR339),"")))</f>
        <v>3.8</v>
      </c>
      <c r="CT143" s="13">
        <f>IF('Données projet'!$A$140&gt;35,CT142+CS143-DB142,IF(A143&lt;'Données projet'!$A$140,$CQ$205^A143,IF(A143='Données projet'!$A$140,'Données projet'!$B$140,CT142+CS143-DB142)))</f>
        <v>340.99999999999989</v>
      </c>
      <c r="CU143" s="18">
        <f>CT143*VLOOKUP('Données projet'!$B$13,Paramètres!$A$1:$I$89,3,0)*VLOOKUP('Données projet'!$B$13,Paramètres!$A$1:$I$89,5,0)</f>
        <v>367.05239999999986</v>
      </c>
      <c r="CV143" s="14">
        <f t="shared" si="149"/>
        <v>85.063997054115035</v>
      </c>
      <c r="CW143" s="22">
        <f t="shared" si="121"/>
        <v>787.43605820258335</v>
      </c>
      <c r="CX143" s="60">
        <f t="shared" si="122"/>
        <v>1080.7693915359166</v>
      </c>
      <c r="CY143" s="60">
        <f ca="1">AVERAGE(OFFSET($CX$3,0,0,'Données projet'!$E$13+1,1))-AVERAGE(OFFSET($H$3,0,0,'Données projet'!$E$13+1,1))</f>
        <v>621.10465023992288</v>
      </c>
      <c r="CZ143" s="60">
        <f t="shared" si="150"/>
        <v>322.81767004794284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>
        <f>EXP(-LN(2)/35)*DF142+(1-EXP(-LN(2)/35))/(LN(2)/35)*DB143*DC143*VLOOKUP('Données projet'!$B$13,Paramètres!$A$1:$I$89,3,0)*0.475*44/12</f>
        <v>0</v>
      </c>
      <c r="DG143" s="23">
        <f>EXP(-LN(2)/25)*DG142+(1-EXP(-LN(2)/25))/(LN(2)/25)*Calculateur!DB143*Calculateur!DD143*VLOOKUP('Données projet'!$B$13,Paramètres!$A$1:$I$89,3,0)*0.475*44/12</f>
        <v>0</v>
      </c>
      <c r="DH143" s="23">
        <f>EXP(-LN(2)/2)*DH142+(1-EXP(-LN(2)/2))/(LN(2)/2)*DB143*DE143*VLOOKUP('Données projet'!$B$13,Paramètres!$A$1:$I$89,3,0)*0.475*44/12</f>
        <v>0</v>
      </c>
      <c r="DI143" s="24">
        <f t="shared" si="123"/>
        <v>0</v>
      </c>
      <c r="DJ143" s="77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>
        <f>VLOOKUP(A143,'Données projet'!$A$165:$I$185,2,0)</f>
        <v>341</v>
      </c>
      <c r="DM143" s="13">
        <f>VLOOKUP(A143,'Données projet'!$A$165:$I$185,9,0)</f>
        <v>3.8</v>
      </c>
      <c r="DN143" s="13">
        <f t="array" ref="DN143">INDEX(DM:DM,MIN(IF(ISNUMBER(DM143:DM339),ROW(DM143:DM339),"")))</f>
        <v>3.8</v>
      </c>
      <c r="DO143" s="13">
        <f>IF('Données projet'!$A$166&gt;35,DO142+DN143-DW142,IF(A143&lt;'Données projet'!$A$166,$DL$205^A143,IF(A143='Données projet'!$A$166,'Données projet'!$B$166,DO142+DN143-DW142)))</f>
        <v>340.99999999999989</v>
      </c>
      <c r="DP143" s="18">
        <f>DO143*VLOOKUP('Données projet'!$B$14,Paramètres!$A$1:$I$89,3,0)*VLOOKUP('Données projet'!$B$14,Paramètres!$A$1:$I$89,5,0)</f>
        <v>329.81519999999989</v>
      </c>
      <c r="DQ143" s="14">
        <f t="shared" si="151"/>
        <v>77.391992167966066</v>
      </c>
      <c r="DR143" s="22">
        <f t="shared" si="124"/>
        <v>709.21919302587401</v>
      </c>
      <c r="DS143" s="60">
        <f t="shared" si="125"/>
        <v>1002.5525263592074</v>
      </c>
      <c r="DT143" s="60">
        <f ca="1">AVERAGE(OFFSET($DS$3,0,0,'Données projet'!$E$14+1,1))-AVERAGE(OFFSET($H$3,0,0,'Données projet'!$E$14+1,1))</f>
        <v>562.69380557620775</v>
      </c>
      <c r="DU143" s="60">
        <f t="shared" si="152"/>
        <v>294.45557293177131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>
        <f>EXP(-LN(2)/35)*EA142+(1-EXP(-LN(2)/35))/(LN(2)/35)*DW143*DX143*VLOOKUP('Données projet'!$B$14,Paramètres!$A$1:$I$89,3,0)*0.475*44/12</f>
        <v>0</v>
      </c>
      <c r="EB143" s="23">
        <f>EXP(-LN(2)/25)*EB142+(1-EXP(-LN(2)/25))/(LN(2)/25)*Calculateur!DW143*Calculateur!DY143*VLOOKUP('Données projet'!$B$14,Paramètres!$A$1:$I$89,3,0)*0.475*44/12</f>
        <v>0</v>
      </c>
      <c r="EC143" s="23">
        <f>EXP(-LN(2)/2)*EC142+(1-EXP(-LN(2)/2))/(LN(2)/2)*DW143*DZ143*VLOOKUP('Données projet'!$B$14,Paramètres!$A$1:$I$89,3,0)*0.475*44/12</f>
        <v>0</v>
      </c>
      <c r="ED143" s="24">
        <f t="shared" si="126"/>
        <v>0</v>
      </c>
      <c r="EE143" s="77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1.1368683772161603E-13</v>
      </c>
      <c r="EK143" s="18">
        <f>EJ143*VLOOKUP('Données projet'!$B$15,Paramètres!$A$1:$I$89,3,0)*VLOOKUP('Données projet'!$B$15,Paramètres!$A$1:$I$89,5,0)</f>
        <v>8.8675733422860506E-14</v>
      </c>
      <c r="EL143" s="14">
        <f t="shared" si="153"/>
        <v>1.3509285393066301E-12</v>
      </c>
      <c r="EM143" s="22">
        <f t="shared" si="127"/>
        <v>2.5073107750038623E-12</v>
      </c>
      <c r="EN143" s="60">
        <f t="shared" si="128"/>
        <v>293.33333333333582</v>
      </c>
      <c r="EO143" s="60">
        <f ca="1">AVERAGE(OFFSET($EN$3,0,0,'Données projet'!$E$15+1,1))-AVERAGE(OFFSET($H$3,0,0,'Données projet'!$E$15+1,1))</f>
        <v>292.57482726862594</v>
      </c>
      <c r="EP143" s="60">
        <f t="shared" si="154"/>
        <v>283.48738729114024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>
        <f>EXP(-LN(2)/35)*EV142+(1-EXP(-LN(2)/35))/(LN(2)/35)*ER143*ES143*VLOOKUP('Données projet'!$B$15,Paramètres!$A$1:$I$89,3,0)*0.475*44/12</f>
        <v>0</v>
      </c>
      <c r="EW143" s="23">
        <f>EXP(-LN(2)/25)*EW142+(1-EXP(-LN(2)/25))/(LN(2)/25)*Calculateur!ER143*Calculateur!ET143*VLOOKUP('Données projet'!$B$15,Paramètres!$A$1:$I$89,3,0)*0.475*44/12</f>
        <v>0</v>
      </c>
      <c r="EX143" s="23">
        <f>EXP(-LN(2)/2)*EX142+(1-EXP(-LN(2)/2))/(LN(2)/2)*ER143*EU143*VLOOKUP('Données projet'!$B$15,Paramètres!$A$1:$I$89,3,0)*0.475*44/12</f>
        <v>0</v>
      </c>
      <c r="EY143" s="24">
        <f t="shared" si="129"/>
        <v>0</v>
      </c>
      <c r="EZ143" s="77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0" t="e">
        <f t="shared" si="131"/>
        <v>#N/A</v>
      </c>
      <c r="FJ143" s="60" t="e">
        <f ca="1">AVERAGE(OFFSET($FI$3,0,0,'Données projet'!$E$16+1,1))-AVERAGE(OFFSET($H$3,0,0,'Données projet'!$E$16+1,1))</f>
        <v>#N/A</v>
      </c>
      <c r="FK143" s="60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77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0" t="e">
        <f t="shared" si="134"/>
        <v>#N/A</v>
      </c>
      <c r="GE143" s="60" t="e">
        <f ca="1">AVERAGE(OFFSET($GD$3,0,0,'Données projet'!$E$17+1,1))-AVERAGE(OFFSET($H$3,0,0,'Données projet'!$E$17+1,1))</f>
        <v>#N/A</v>
      </c>
      <c r="GF143" s="60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77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0" t="e">
        <f t="shared" si="137"/>
        <v>#N/A</v>
      </c>
      <c r="GZ143" s="60" t="e">
        <f ca="1">AVERAGE(OFFSET($GY$3,0,0,'Données projet'!$E$18+1,1))-AVERAGE(OFFSET($H$3,0,0,'Données projet'!$E$18+1,1))</f>
        <v>#N/A</v>
      </c>
      <c r="HA143" s="60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25">
      <c r="A144" s="11">
        <f t="shared" si="139"/>
        <v>141</v>
      </c>
      <c r="B144" s="74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2">
        <f t="shared" si="140"/>
        <v>0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0</v>
      </c>
      <c r="H144" s="67">
        <f t="shared" si="110"/>
        <v>256.66666666666669</v>
      </c>
      <c r="I144" s="7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1.1368683772161603E-13</v>
      </c>
      <c r="O144" s="14">
        <f>N144*VLOOKUP('Données projet'!$B$9,Paramètres!$A$1:$I$89,3,0)*VLOOKUP('Données projet'!$B$9,Paramètres!$A$1:$I$89,5,0)</f>
        <v>1.0818439477588981E-13</v>
      </c>
      <c r="P144" s="14">
        <f t="shared" si="141"/>
        <v>1.6104228458716316E-12</v>
      </c>
      <c r="Q144" s="22">
        <f t="shared" si="108"/>
        <v>2.9932409441277661E-12</v>
      </c>
      <c r="R144" s="60">
        <f t="shared" si="109"/>
        <v>293.33333333333633</v>
      </c>
      <c r="S144" s="60">
        <f ca="1">AVERAGE(OFFSET($R$3,0,0,'Données projet'!$E$9+1,1))-AVERAGE(OFFSET($H$3,0,0,'Données projet'!$E$9+1,1))</f>
        <v>403.49781966317852</v>
      </c>
      <c r="T144" s="60">
        <f t="shared" si="142"/>
        <v>326.06674572505409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0</v>
      </c>
      <c r="AA144" s="23">
        <f>EXP(-LN(2)/25)*AA143+(1-EXP(-LN(2)/25))/(LN(2)/25)*Calculateur!V144*Calculateur!X144*VLOOKUP('Données projet'!$B$9,Paramètres!$A$1:$I$89,3,0)*0.475*44/12</f>
        <v>0</v>
      </c>
      <c r="AB144" s="23">
        <f>EXP(-LN(2)/2)*AB143+(1-EXP(-LN(2)/2))/(LN(2)/2)*V144*Y144*VLOOKUP('Données projet'!$B$9,Paramètres!$A$1:$I$89,3,0)*0.475*44/12</f>
        <v>0</v>
      </c>
      <c r="AC144" s="24">
        <f t="shared" si="111"/>
        <v>0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-1.1368683772161603E-13</v>
      </c>
      <c r="AJ144" s="14">
        <f>AI144*VLOOKUP('Données projet'!$B$10,Paramètres!$A$1:$I$89,3,0)*VLOOKUP('Données projet'!$B$10,Paramètres!$A$1:$I$89,5,0)</f>
        <v>-9.9316821433603781E-14</v>
      </c>
      <c r="AK144" s="14" t="e">
        <f t="shared" si="143"/>
        <v>#NUM!</v>
      </c>
      <c r="AL144" s="22" t="e">
        <f t="shared" si="112"/>
        <v>#NUM!</v>
      </c>
      <c r="AM144" s="60" t="e">
        <f t="shared" si="113"/>
        <v>#NUM!</v>
      </c>
      <c r="AN144" s="60">
        <f ca="1">AVERAGE(OFFSET($AM$3,0,0,'Données projet'!$E$10+1,1))-AVERAGE(OFFSET($H$3,0,0,'Données projet'!$E$10+1,1))</f>
        <v>274.66236526869056</v>
      </c>
      <c r="AO144" s="60">
        <f t="shared" si="144"/>
        <v>256.90876395053073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>
        <f>EXP(-LN(2)/35)*AU143+(1-EXP(-LN(2)/35))/(LN(2)/35)*AQ144*AR144*VLOOKUP('Données projet'!$B$10,Paramètres!$A$1:$I$89,3,0)*0.475*44/12</f>
        <v>0</v>
      </c>
      <c r="AV144" s="23">
        <f>EXP(-LN(2)/25)*AV143+(1-EXP(-LN(2)/25))/(LN(2)/25)*Calculateur!AQ144*Calculateur!AS144*VLOOKUP('Données projet'!$B$10,Paramètres!$A$1:$I$89,3,0)*0.475*44/12</f>
        <v>0</v>
      </c>
      <c r="AW144" s="23">
        <f>EXP(-LN(2)/2)*AW143+(1-EXP(-LN(2)/2))/(LN(2)/2)*AQ144*AT144*VLOOKUP('Données projet'!$B$10,Paramètres!$A$1:$I$89,3,0)*0.475*44/12</f>
        <v>0</v>
      </c>
      <c r="AX144" s="23">
        <f t="shared" si="114"/>
        <v>0</v>
      </c>
      <c r="AY144" s="76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3.5</v>
      </c>
      <c r="BD144" s="13">
        <f>IF('Données projet'!$A$88&gt;35,BD143+BC144-BL143,IF(A144&lt;'Données projet'!$A$88,$BA$205^A144,IF(A144='Données projet'!$A$88,'Données projet'!$B$88,BD143+BC144-BL143)))</f>
        <v>344.49999999999989</v>
      </c>
      <c r="BE144" s="14">
        <f>BD144*VLOOKUP('Données projet'!$B$11,Paramètres!$A$1:$I$89,3,0)*VLOOKUP('Données projet'!$B$11,Paramètres!$A$1:$I$89,5,0)</f>
        <v>311.70359999999988</v>
      </c>
      <c r="BF144" s="14">
        <f t="shared" si="145"/>
        <v>73.624496097462782</v>
      </c>
      <c r="BG144" s="22">
        <f t="shared" si="115"/>
        <v>671.1131007030807</v>
      </c>
      <c r="BH144" s="60">
        <f t="shared" si="116"/>
        <v>964.44643403641408</v>
      </c>
      <c r="BI144" s="60">
        <f ca="1">AVERAGE(OFFSET($BH$3,0,0,'Données projet'!$E$11+1,1))-AVERAGE(OFFSET($H$3,0,0,'Données projet'!$E$11+1,1))</f>
        <v>529.25712986118265</v>
      </c>
      <c r="BJ144" s="60">
        <f t="shared" si="146"/>
        <v>278.21741231699929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>
        <f>EXP(-LN(2)/35)*BP143+(1-EXP(-LN(2)/35))/(LN(2)/35)*BL144*BM144*VLOOKUP('Données projet'!$B$11,Paramètres!$A$1:$I$89,3,0)*0.475*44/12</f>
        <v>0</v>
      </c>
      <c r="BQ144" s="23">
        <f>EXP(-LN(2)/25)*BQ143+(1-EXP(-LN(2)/25))/(LN(2)/25)*Calculateur!BL144*Calculateur!BN144*VLOOKUP('Données projet'!$B$11,Paramètres!$A$1:$I$89,3,0)*0.475*44/12</f>
        <v>0</v>
      </c>
      <c r="BR144" s="23">
        <f>EXP(-LN(2)/2)*BR143+(1-EXP(-LN(2)/2))/(LN(2)/2)*BL144*BO144*VLOOKUP('Données projet'!$B$11,Paramètres!$A$1:$I$89,3,0)*0.475*44/12</f>
        <v>0</v>
      </c>
      <c r="BS144" s="24">
        <f t="shared" si="117"/>
        <v>0</v>
      </c>
      <c r="BT144" s="77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3.5</v>
      </c>
      <c r="BY144" s="13">
        <f>IF('Données projet'!$A$114&gt;35,BY143+BX144-CG143,IF(A144&lt;'Données projet'!$A$114,$BV$205^A144,IF(A144='Données projet'!$A$114,'Données projet'!$B$114,BY143+BX144-CG143)))</f>
        <v>344.49999999999989</v>
      </c>
      <c r="BZ144" s="14">
        <f>BY144*VLOOKUP('Données projet'!$B$12,Paramètres!$A$1:$I$89,3,0)*VLOOKUP('Données projet'!$B$12,Paramètres!$A$1:$I$89,5,0)</f>
        <v>349.32299999999992</v>
      </c>
      <c r="CA144" s="14">
        <f t="shared" si="147"/>
        <v>81.423094202589596</v>
      </c>
      <c r="CB144" s="22">
        <f t="shared" si="118"/>
        <v>750.21611406951013</v>
      </c>
      <c r="CC144" s="60">
        <f t="shared" si="119"/>
        <v>1043.5494474028435</v>
      </c>
      <c r="CD144" s="60">
        <f ca="1">AVERAGE(OFFSET($CC$3,0,0,'Données projet'!$E$12+1,1))-AVERAGE(OFFSET($H$3,0,0,'Données projet'!$E$12+1,1))</f>
        <v>587.74247372331615</v>
      </c>
      <c r="CE144" s="60">
        <f t="shared" si="148"/>
        <v>306.61893266146666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>
        <f>EXP(-LN(2)/35)*CK143+(1-EXP(-LN(2)/35))/(LN(2)/35)*CG144*CH144*VLOOKUP('Données projet'!$B$12,Paramètres!$A$1:$I$89,3,0)*0.475*44/12</f>
        <v>0</v>
      </c>
      <c r="CL144" s="23">
        <f>EXP(-LN(2)/25)*CL143+(1-EXP(-LN(2)/25))/(LN(2)/25)*Calculateur!CG144*Calculateur!CI144*VLOOKUP('Données projet'!$B$12,Paramètres!$A$1:$I$89,3,0)*0.475*44/12</f>
        <v>0</v>
      </c>
      <c r="CM144" s="23">
        <f>EXP(-LN(2)/2)*CM143+(1-EXP(-LN(2)/2))/(LN(2)/2)*CG144*CJ144*VLOOKUP('Données projet'!$B$12,Paramètres!$A$1:$I$89,3,0)*0.475*44/12</f>
        <v>0</v>
      </c>
      <c r="CN144" s="24">
        <f t="shared" si="120"/>
        <v>0</v>
      </c>
      <c r="CO144" s="77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3.5</v>
      </c>
      <c r="CT144" s="13">
        <f>IF('Données projet'!$A$140&gt;35,CT143+CS144-DB143,IF(A144&lt;'Données projet'!$A$140,$CQ$205^A144,IF(A144='Données projet'!$A$140,'Données projet'!$B$140,CT143+CS144-DB143)))</f>
        <v>344.49999999999989</v>
      </c>
      <c r="CU144" s="18">
        <f>CT144*VLOOKUP('Données projet'!$B$13,Paramètres!$A$1:$I$89,3,0)*VLOOKUP('Données projet'!$B$13,Paramètres!$A$1:$I$89,5,0)</f>
        <v>370.81979999999987</v>
      </c>
      <c r="CV144" s="14">
        <f t="shared" si="149"/>
        <v>85.835001063640092</v>
      </c>
      <c r="CW144" s="22">
        <f t="shared" si="121"/>
        <v>795.3404451858396</v>
      </c>
      <c r="CX144" s="60">
        <f t="shared" si="122"/>
        <v>1088.6737785191729</v>
      </c>
      <c r="CY144" s="60">
        <f ca="1">AVERAGE(OFFSET($CX$3,0,0,'Données projet'!$E$13+1,1))-AVERAGE(OFFSET($H$3,0,0,'Données projet'!$E$13+1,1))</f>
        <v>621.10465023992288</v>
      </c>
      <c r="CZ144" s="60">
        <f t="shared" si="150"/>
        <v>322.81767004794284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>
        <f>EXP(-LN(2)/35)*DF143+(1-EXP(-LN(2)/35))/(LN(2)/35)*DB144*DC144*VLOOKUP('Données projet'!$B$13,Paramètres!$A$1:$I$89,3,0)*0.475*44/12</f>
        <v>0</v>
      </c>
      <c r="DG144" s="23">
        <f>EXP(-LN(2)/25)*DG143+(1-EXP(-LN(2)/25))/(LN(2)/25)*Calculateur!DB144*Calculateur!DD144*VLOOKUP('Données projet'!$B$13,Paramètres!$A$1:$I$89,3,0)*0.475*44/12</f>
        <v>0</v>
      </c>
      <c r="DH144" s="23">
        <f>EXP(-LN(2)/2)*DH143+(1-EXP(-LN(2)/2))/(LN(2)/2)*DB144*DE144*VLOOKUP('Données projet'!$B$13,Paramètres!$A$1:$I$89,3,0)*0.475*44/12</f>
        <v>0</v>
      </c>
      <c r="DI144" s="24">
        <f t="shared" si="123"/>
        <v>0</v>
      </c>
      <c r="DJ144" s="77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3.5</v>
      </c>
      <c r="DO144" s="13">
        <f>IF('Données projet'!$A$166&gt;35,DO143+DN144-DW143,IF(A144&lt;'Données projet'!$A$166,$DL$205^A144,IF(A144='Données projet'!$A$166,'Données projet'!$B$166,DO143+DN144-DW143)))</f>
        <v>344.49999999999989</v>
      </c>
      <c r="DP144" s="18">
        <f>DO144*VLOOKUP('Données projet'!$B$14,Paramètres!$A$1:$I$89,3,0)*VLOOKUP('Données projet'!$B$14,Paramètres!$A$1:$I$89,5,0)</f>
        <v>333.20039999999989</v>
      </c>
      <c r="DQ144" s="14">
        <f t="shared" si="151"/>
        <v>78.093458573649713</v>
      </c>
      <c r="DR144" s="22">
        <f t="shared" si="124"/>
        <v>716.33680368243961</v>
      </c>
      <c r="DS144" s="60">
        <f t="shared" si="125"/>
        <v>1009.670137015773</v>
      </c>
      <c r="DT144" s="60">
        <f ca="1">AVERAGE(OFFSET($DS$3,0,0,'Données projet'!$E$14+1,1))-AVERAGE(OFFSET($H$3,0,0,'Données projet'!$E$14+1,1))</f>
        <v>562.69380557620775</v>
      </c>
      <c r="DU144" s="60">
        <f t="shared" si="152"/>
        <v>294.45557293177131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>
        <f>EXP(-LN(2)/35)*EA143+(1-EXP(-LN(2)/35))/(LN(2)/35)*DW144*DX144*VLOOKUP('Données projet'!$B$14,Paramètres!$A$1:$I$89,3,0)*0.475*44/12</f>
        <v>0</v>
      </c>
      <c r="EB144" s="23">
        <f>EXP(-LN(2)/25)*EB143+(1-EXP(-LN(2)/25))/(LN(2)/25)*Calculateur!DW144*Calculateur!DY144*VLOOKUP('Données projet'!$B$14,Paramètres!$A$1:$I$89,3,0)*0.475*44/12</f>
        <v>0</v>
      </c>
      <c r="EC144" s="23">
        <f>EXP(-LN(2)/2)*EC143+(1-EXP(-LN(2)/2))/(LN(2)/2)*DW144*DZ144*VLOOKUP('Données projet'!$B$14,Paramètres!$A$1:$I$89,3,0)*0.475*44/12</f>
        <v>0</v>
      </c>
      <c r="ED144" s="24">
        <f t="shared" si="126"/>
        <v>0</v>
      </c>
      <c r="EE144" s="77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1.1368683772161603E-13</v>
      </c>
      <c r="EK144" s="18">
        <f>EJ144*VLOOKUP('Données projet'!$B$15,Paramètres!$A$1:$I$89,3,0)*VLOOKUP('Données projet'!$B$15,Paramètres!$A$1:$I$89,5,0)</f>
        <v>8.8675733422860506E-14</v>
      </c>
      <c r="EL144" s="14">
        <f t="shared" si="153"/>
        <v>1.3509285393066301E-12</v>
      </c>
      <c r="EM144" s="22">
        <f t="shared" si="127"/>
        <v>2.5073107750038623E-12</v>
      </c>
      <c r="EN144" s="60">
        <f t="shared" si="128"/>
        <v>293.33333333333582</v>
      </c>
      <c r="EO144" s="60">
        <f ca="1">AVERAGE(OFFSET($EN$3,0,0,'Données projet'!$E$15+1,1))-AVERAGE(OFFSET($H$3,0,0,'Données projet'!$E$15+1,1))</f>
        <v>292.57482726862594</v>
      </c>
      <c r="EP144" s="60">
        <f t="shared" si="154"/>
        <v>283.48738729114024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>
        <f>EXP(-LN(2)/35)*EV143+(1-EXP(-LN(2)/35))/(LN(2)/35)*ER144*ES144*VLOOKUP('Données projet'!$B$15,Paramètres!$A$1:$I$89,3,0)*0.475*44/12</f>
        <v>0</v>
      </c>
      <c r="EW144" s="23">
        <f>EXP(-LN(2)/25)*EW143+(1-EXP(-LN(2)/25))/(LN(2)/25)*Calculateur!ER144*Calculateur!ET144*VLOOKUP('Données projet'!$B$15,Paramètres!$A$1:$I$89,3,0)*0.475*44/12</f>
        <v>0</v>
      </c>
      <c r="EX144" s="23">
        <f>EXP(-LN(2)/2)*EX143+(1-EXP(-LN(2)/2))/(LN(2)/2)*ER144*EU144*VLOOKUP('Données projet'!$B$15,Paramètres!$A$1:$I$89,3,0)*0.475*44/12</f>
        <v>0</v>
      </c>
      <c r="EY144" s="24">
        <f t="shared" si="129"/>
        <v>0</v>
      </c>
      <c r="EZ144" s="77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0" t="e">
        <f t="shared" si="131"/>
        <v>#N/A</v>
      </c>
      <c r="FJ144" s="60" t="e">
        <f ca="1">AVERAGE(OFFSET($FI$3,0,0,'Données projet'!$E$16+1,1))-AVERAGE(OFFSET($H$3,0,0,'Données projet'!$E$16+1,1))</f>
        <v>#N/A</v>
      </c>
      <c r="FK144" s="60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77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0" t="e">
        <f t="shared" si="134"/>
        <v>#N/A</v>
      </c>
      <c r="GE144" s="60" t="e">
        <f ca="1">AVERAGE(OFFSET($GD$3,0,0,'Données projet'!$E$17+1,1))-AVERAGE(OFFSET($H$3,0,0,'Données projet'!$E$17+1,1))</f>
        <v>#N/A</v>
      </c>
      <c r="GF144" s="60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77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0" t="e">
        <f t="shared" si="137"/>
        <v>#N/A</v>
      </c>
      <c r="GZ144" s="60" t="e">
        <f ca="1">AVERAGE(OFFSET($GY$3,0,0,'Données projet'!$E$18+1,1))-AVERAGE(OFFSET($H$3,0,0,'Données projet'!$E$18+1,1))</f>
        <v>#N/A</v>
      </c>
      <c r="HA144" s="60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25">
      <c r="A145" s="11">
        <f t="shared" si="139"/>
        <v>142</v>
      </c>
      <c r="B145" s="74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2">
        <f t="shared" si="140"/>
        <v>0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0</v>
      </c>
      <c r="H145" s="67">
        <f t="shared" si="110"/>
        <v>256.66666666666669</v>
      </c>
      <c r="I145" s="7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1.1368683772161603E-13</v>
      </c>
      <c r="O145" s="14">
        <f>N145*VLOOKUP('Données projet'!$B$9,Paramètres!$A$1:$I$89,3,0)*VLOOKUP('Données projet'!$B$9,Paramètres!$A$1:$I$89,5,0)</f>
        <v>1.0818439477588981E-13</v>
      </c>
      <c r="P145" s="14">
        <f t="shared" si="141"/>
        <v>1.6104228458716316E-12</v>
      </c>
      <c r="Q145" s="22">
        <f t="shared" si="108"/>
        <v>2.9932409441277661E-12</v>
      </c>
      <c r="R145" s="60">
        <f t="shared" si="109"/>
        <v>293.33333333333633</v>
      </c>
      <c r="S145" s="60">
        <f ca="1">AVERAGE(OFFSET($R$3,0,0,'Données projet'!$E$9+1,1))-AVERAGE(OFFSET($H$3,0,0,'Données projet'!$E$9+1,1))</f>
        <v>403.49781966317852</v>
      </c>
      <c r="T145" s="60">
        <f t="shared" si="142"/>
        <v>326.06674572505409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0</v>
      </c>
      <c r="AA145" s="23">
        <f>EXP(-LN(2)/25)*AA144+(1-EXP(-LN(2)/25))/(LN(2)/25)*Calculateur!V145*Calculateur!X145*VLOOKUP('Données projet'!$B$9,Paramètres!$A$1:$I$89,3,0)*0.475*44/12</f>
        <v>0</v>
      </c>
      <c r="AB145" s="23">
        <f>EXP(-LN(2)/2)*AB144+(1-EXP(-LN(2)/2))/(LN(2)/2)*V145*Y145*VLOOKUP('Données projet'!$B$9,Paramètres!$A$1:$I$89,3,0)*0.475*44/12</f>
        <v>0</v>
      </c>
      <c r="AC145" s="24">
        <f t="shared" si="111"/>
        <v>0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-1.1368683772161603E-13</v>
      </c>
      <c r="AJ145" s="14">
        <f>AI145*VLOOKUP('Données projet'!$B$10,Paramètres!$A$1:$I$89,3,0)*VLOOKUP('Données projet'!$B$10,Paramètres!$A$1:$I$89,5,0)</f>
        <v>-9.9316821433603781E-14</v>
      </c>
      <c r="AK145" s="14" t="e">
        <f t="shared" si="143"/>
        <v>#NUM!</v>
      </c>
      <c r="AL145" s="22" t="e">
        <f t="shared" si="112"/>
        <v>#NUM!</v>
      </c>
      <c r="AM145" s="60" t="e">
        <f t="shared" si="113"/>
        <v>#NUM!</v>
      </c>
      <c r="AN145" s="60">
        <f ca="1">AVERAGE(OFFSET($AM$3,0,0,'Données projet'!$E$10+1,1))-AVERAGE(OFFSET($H$3,0,0,'Données projet'!$E$10+1,1))</f>
        <v>274.66236526869056</v>
      </c>
      <c r="AO145" s="60">
        <f t="shared" si="144"/>
        <v>256.90876395053073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>
        <f>EXP(-LN(2)/35)*AU144+(1-EXP(-LN(2)/35))/(LN(2)/35)*AQ145*AR145*VLOOKUP('Données projet'!$B$10,Paramètres!$A$1:$I$89,3,0)*0.475*44/12</f>
        <v>0</v>
      </c>
      <c r="AV145" s="23">
        <f>EXP(-LN(2)/25)*AV144+(1-EXP(-LN(2)/25))/(LN(2)/25)*Calculateur!AQ145*Calculateur!AS145*VLOOKUP('Données projet'!$B$10,Paramètres!$A$1:$I$89,3,0)*0.475*44/12</f>
        <v>0</v>
      </c>
      <c r="AW145" s="23">
        <f>EXP(-LN(2)/2)*AW144+(1-EXP(-LN(2)/2))/(LN(2)/2)*AQ145*AT145*VLOOKUP('Données projet'!$B$10,Paramètres!$A$1:$I$89,3,0)*0.475*44/12</f>
        <v>0</v>
      </c>
      <c r="AX145" s="23">
        <f t="shared" si="114"/>
        <v>0</v>
      </c>
      <c r="AY145" s="76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3.5</v>
      </c>
      <c r="BD145" s="13">
        <f>IF('Données projet'!$A$88&gt;35,BD144+BC145-BL144,IF(A145&lt;'Données projet'!$A$88,$BA$205^A145,IF(A145='Données projet'!$A$88,'Données projet'!$B$88,BD144+BC145-BL144)))</f>
        <v>347.99999999999989</v>
      </c>
      <c r="BE145" s="14">
        <f>BD145*VLOOKUP('Données projet'!$B$11,Paramètres!$A$1:$I$89,3,0)*VLOOKUP('Données projet'!$B$11,Paramètres!$A$1:$I$89,5,0)</f>
        <v>314.8703999999999</v>
      </c>
      <c r="BF145" s="14">
        <f t="shared" si="145"/>
        <v>74.285038887149952</v>
      </c>
      <c r="BG145" s="22">
        <f t="shared" si="115"/>
        <v>677.77905606178604</v>
      </c>
      <c r="BH145" s="60">
        <f t="shared" si="116"/>
        <v>971.11238939511941</v>
      </c>
      <c r="BI145" s="60">
        <f ca="1">AVERAGE(OFFSET($BH$3,0,0,'Données projet'!$E$11+1,1))-AVERAGE(OFFSET($H$3,0,0,'Données projet'!$E$11+1,1))</f>
        <v>529.25712986118265</v>
      </c>
      <c r="BJ145" s="60">
        <f t="shared" si="146"/>
        <v>278.21741231699929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>
        <f>EXP(-LN(2)/35)*BP144+(1-EXP(-LN(2)/35))/(LN(2)/35)*BL145*BM145*VLOOKUP('Données projet'!$B$11,Paramètres!$A$1:$I$89,3,0)*0.475*44/12</f>
        <v>0</v>
      </c>
      <c r="BQ145" s="23">
        <f>EXP(-LN(2)/25)*BQ144+(1-EXP(-LN(2)/25))/(LN(2)/25)*Calculateur!BL145*Calculateur!BN145*VLOOKUP('Données projet'!$B$11,Paramètres!$A$1:$I$89,3,0)*0.475*44/12</f>
        <v>0</v>
      </c>
      <c r="BR145" s="23">
        <f>EXP(-LN(2)/2)*BR144+(1-EXP(-LN(2)/2))/(LN(2)/2)*BL145*BO145*VLOOKUP('Données projet'!$B$11,Paramètres!$A$1:$I$89,3,0)*0.475*44/12</f>
        <v>0</v>
      </c>
      <c r="BS145" s="24">
        <f t="shared" si="117"/>
        <v>0</v>
      </c>
      <c r="BT145" s="77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3.5</v>
      </c>
      <c r="BY145" s="13">
        <f>IF('Données projet'!$A$114&gt;35,BY144+BX145-CG144,IF(A145&lt;'Données projet'!$A$114,$BV$205^A145,IF(A145='Données projet'!$A$114,'Données projet'!$B$114,BY144+BX145-CG144)))</f>
        <v>347.99999999999989</v>
      </c>
      <c r="BZ145" s="14">
        <f>BY145*VLOOKUP('Données projet'!$B$12,Paramètres!$A$1:$I$89,3,0)*VLOOKUP('Données projet'!$B$12,Paramètres!$A$1:$I$89,5,0)</f>
        <v>352.8719999999999</v>
      </c>
      <c r="CA145" s="14">
        <f t="shared" si="147"/>
        <v>82.153604299641287</v>
      </c>
      <c r="CB145" s="22">
        <f t="shared" si="118"/>
        <v>757.66959415520842</v>
      </c>
      <c r="CC145" s="60">
        <f t="shared" si="119"/>
        <v>1051.0029274885417</v>
      </c>
      <c r="CD145" s="60">
        <f ca="1">AVERAGE(OFFSET($CC$3,0,0,'Données projet'!$E$12+1,1))-AVERAGE(OFFSET($H$3,0,0,'Données projet'!$E$12+1,1))</f>
        <v>587.74247372331615</v>
      </c>
      <c r="CE145" s="60">
        <f t="shared" si="148"/>
        <v>306.61893266146666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>
        <f>EXP(-LN(2)/35)*CK144+(1-EXP(-LN(2)/35))/(LN(2)/35)*CG145*CH145*VLOOKUP('Données projet'!$B$12,Paramètres!$A$1:$I$89,3,0)*0.475*44/12</f>
        <v>0</v>
      </c>
      <c r="CL145" s="23">
        <f>EXP(-LN(2)/25)*CL144+(1-EXP(-LN(2)/25))/(LN(2)/25)*Calculateur!CG145*Calculateur!CI145*VLOOKUP('Données projet'!$B$12,Paramètres!$A$1:$I$89,3,0)*0.475*44/12</f>
        <v>0</v>
      </c>
      <c r="CM145" s="23">
        <f>EXP(-LN(2)/2)*CM144+(1-EXP(-LN(2)/2))/(LN(2)/2)*CG145*CJ145*VLOOKUP('Données projet'!$B$12,Paramètres!$A$1:$I$89,3,0)*0.475*44/12</f>
        <v>0</v>
      </c>
      <c r="CN145" s="24">
        <f t="shared" si="120"/>
        <v>0</v>
      </c>
      <c r="CO145" s="77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3.5</v>
      </c>
      <c r="CT145" s="13">
        <f>IF('Données projet'!$A$140&gt;35,CT144+CS145-DB144,IF(A145&lt;'Données projet'!$A$140,$CQ$205^A145,IF(A145='Données projet'!$A$140,'Données projet'!$B$140,CT144+CS145-DB144)))</f>
        <v>347.99999999999989</v>
      </c>
      <c r="CU145" s="18">
        <f>CT145*VLOOKUP('Données projet'!$B$13,Paramètres!$A$1:$I$89,3,0)*VLOOKUP('Données projet'!$B$13,Paramètres!$A$1:$I$89,5,0)</f>
        <v>374.58719999999983</v>
      </c>
      <c r="CV145" s="14">
        <f t="shared" si="149"/>
        <v>86.605093818914398</v>
      </c>
      <c r="CW145" s="22">
        <f t="shared" si="121"/>
        <v>803.24324506794221</v>
      </c>
      <c r="CX145" s="60">
        <f t="shared" si="122"/>
        <v>1096.5765784012756</v>
      </c>
      <c r="CY145" s="60">
        <f ca="1">AVERAGE(OFFSET($CX$3,0,0,'Données projet'!$E$13+1,1))-AVERAGE(OFFSET($H$3,0,0,'Données projet'!$E$13+1,1))</f>
        <v>621.10465023992288</v>
      </c>
      <c r="CZ145" s="60">
        <f t="shared" si="150"/>
        <v>322.81767004794284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>
        <f>EXP(-LN(2)/35)*DF144+(1-EXP(-LN(2)/35))/(LN(2)/35)*DB145*DC145*VLOOKUP('Données projet'!$B$13,Paramètres!$A$1:$I$89,3,0)*0.475*44/12</f>
        <v>0</v>
      </c>
      <c r="DG145" s="23">
        <f>EXP(-LN(2)/25)*DG144+(1-EXP(-LN(2)/25))/(LN(2)/25)*Calculateur!DB145*Calculateur!DD145*VLOOKUP('Données projet'!$B$13,Paramètres!$A$1:$I$89,3,0)*0.475*44/12</f>
        <v>0</v>
      </c>
      <c r="DH145" s="23">
        <f>EXP(-LN(2)/2)*DH144+(1-EXP(-LN(2)/2))/(LN(2)/2)*DB145*DE145*VLOOKUP('Données projet'!$B$13,Paramètres!$A$1:$I$89,3,0)*0.475*44/12</f>
        <v>0</v>
      </c>
      <c r="DI145" s="24">
        <f t="shared" si="123"/>
        <v>0</v>
      </c>
      <c r="DJ145" s="77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3.5</v>
      </c>
      <c r="DO145" s="13">
        <f>IF('Données projet'!$A$166&gt;35,DO144+DN145-DW144,IF(A145&lt;'Données projet'!$A$166,$DL$205^A145,IF(A145='Données projet'!$A$166,'Données projet'!$B$166,DO144+DN145-DW144)))</f>
        <v>347.99999999999989</v>
      </c>
      <c r="DP145" s="18">
        <f>DO145*VLOOKUP('Données projet'!$B$14,Paramètres!$A$1:$I$89,3,0)*VLOOKUP('Données projet'!$B$14,Paramètres!$A$1:$I$89,5,0)</f>
        <v>336.58559999999989</v>
      </c>
      <c r="DQ145" s="14">
        <f t="shared" si="151"/>
        <v>78.794095911992599</v>
      </c>
      <c r="DR145" s="22">
        <f t="shared" si="124"/>
        <v>723.45297038005356</v>
      </c>
      <c r="DS145" s="60">
        <f t="shared" si="125"/>
        <v>1016.7863037133868</v>
      </c>
      <c r="DT145" s="60">
        <f ca="1">AVERAGE(OFFSET($DS$3,0,0,'Données projet'!$E$14+1,1))-AVERAGE(OFFSET($H$3,0,0,'Données projet'!$E$14+1,1))</f>
        <v>562.69380557620775</v>
      </c>
      <c r="DU145" s="60">
        <f t="shared" si="152"/>
        <v>294.45557293177131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>
        <f>EXP(-LN(2)/35)*EA144+(1-EXP(-LN(2)/35))/(LN(2)/35)*DW145*DX145*VLOOKUP('Données projet'!$B$14,Paramètres!$A$1:$I$89,3,0)*0.475*44/12</f>
        <v>0</v>
      </c>
      <c r="EB145" s="23">
        <f>EXP(-LN(2)/25)*EB144+(1-EXP(-LN(2)/25))/(LN(2)/25)*Calculateur!DW145*Calculateur!DY145*VLOOKUP('Données projet'!$B$14,Paramètres!$A$1:$I$89,3,0)*0.475*44/12</f>
        <v>0</v>
      </c>
      <c r="EC145" s="23">
        <f>EXP(-LN(2)/2)*EC144+(1-EXP(-LN(2)/2))/(LN(2)/2)*DW145*DZ145*VLOOKUP('Données projet'!$B$14,Paramètres!$A$1:$I$89,3,0)*0.475*44/12</f>
        <v>0</v>
      </c>
      <c r="ED145" s="24">
        <f t="shared" si="126"/>
        <v>0</v>
      </c>
      <c r="EE145" s="77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1.1368683772161603E-13</v>
      </c>
      <c r="EK145" s="18">
        <f>EJ145*VLOOKUP('Données projet'!$B$15,Paramètres!$A$1:$I$89,3,0)*VLOOKUP('Données projet'!$B$15,Paramètres!$A$1:$I$89,5,0)</f>
        <v>8.8675733422860506E-14</v>
      </c>
      <c r="EL145" s="14">
        <f t="shared" si="153"/>
        <v>1.3509285393066301E-12</v>
      </c>
      <c r="EM145" s="22">
        <f t="shared" si="127"/>
        <v>2.5073107750038623E-12</v>
      </c>
      <c r="EN145" s="60">
        <f t="shared" si="128"/>
        <v>293.33333333333582</v>
      </c>
      <c r="EO145" s="60">
        <f ca="1">AVERAGE(OFFSET($EN$3,0,0,'Données projet'!$E$15+1,1))-AVERAGE(OFFSET($H$3,0,0,'Données projet'!$E$15+1,1))</f>
        <v>292.57482726862594</v>
      </c>
      <c r="EP145" s="60">
        <f t="shared" si="154"/>
        <v>283.48738729114024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>
        <f>EXP(-LN(2)/35)*EV144+(1-EXP(-LN(2)/35))/(LN(2)/35)*ER145*ES145*VLOOKUP('Données projet'!$B$15,Paramètres!$A$1:$I$89,3,0)*0.475*44/12</f>
        <v>0</v>
      </c>
      <c r="EW145" s="23">
        <f>EXP(-LN(2)/25)*EW144+(1-EXP(-LN(2)/25))/(LN(2)/25)*Calculateur!ER145*Calculateur!ET145*VLOOKUP('Données projet'!$B$15,Paramètres!$A$1:$I$89,3,0)*0.475*44/12</f>
        <v>0</v>
      </c>
      <c r="EX145" s="23">
        <f>EXP(-LN(2)/2)*EX144+(1-EXP(-LN(2)/2))/(LN(2)/2)*ER145*EU145*VLOOKUP('Données projet'!$B$15,Paramètres!$A$1:$I$89,3,0)*0.475*44/12</f>
        <v>0</v>
      </c>
      <c r="EY145" s="24">
        <f t="shared" si="129"/>
        <v>0</v>
      </c>
      <c r="EZ145" s="77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0" t="e">
        <f t="shared" si="131"/>
        <v>#N/A</v>
      </c>
      <c r="FJ145" s="60" t="e">
        <f ca="1">AVERAGE(OFFSET($FI$3,0,0,'Données projet'!$E$16+1,1))-AVERAGE(OFFSET($H$3,0,0,'Données projet'!$E$16+1,1))</f>
        <v>#N/A</v>
      </c>
      <c r="FK145" s="60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77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0" t="e">
        <f t="shared" si="134"/>
        <v>#N/A</v>
      </c>
      <c r="GE145" s="60" t="e">
        <f ca="1">AVERAGE(OFFSET($GD$3,0,0,'Données projet'!$E$17+1,1))-AVERAGE(OFFSET($H$3,0,0,'Données projet'!$E$17+1,1))</f>
        <v>#N/A</v>
      </c>
      <c r="GF145" s="60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77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0" t="e">
        <f t="shared" si="137"/>
        <v>#N/A</v>
      </c>
      <c r="GZ145" s="60" t="e">
        <f ca="1">AVERAGE(OFFSET($GY$3,0,0,'Données projet'!$E$18+1,1))-AVERAGE(OFFSET($H$3,0,0,'Données projet'!$E$18+1,1))</f>
        <v>#N/A</v>
      </c>
      <c r="HA145" s="60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25">
      <c r="A146" s="11">
        <f t="shared" si="139"/>
        <v>143</v>
      </c>
      <c r="B146" s="74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2">
        <f t="shared" si="140"/>
        <v>0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0</v>
      </c>
      <c r="H146" s="67">
        <f t="shared" si="110"/>
        <v>256.66666666666669</v>
      </c>
      <c r="I146" s="7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1.1368683772161603E-13</v>
      </c>
      <c r="O146" s="14">
        <f>N146*VLOOKUP('Données projet'!$B$9,Paramètres!$A$1:$I$89,3,0)*VLOOKUP('Données projet'!$B$9,Paramètres!$A$1:$I$89,5,0)</f>
        <v>1.0818439477588981E-13</v>
      </c>
      <c r="P146" s="14">
        <f t="shared" si="141"/>
        <v>1.6104228458716316E-12</v>
      </c>
      <c r="Q146" s="22">
        <f t="shared" si="108"/>
        <v>2.9932409441277661E-12</v>
      </c>
      <c r="R146" s="60">
        <f t="shared" si="109"/>
        <v>293.33333333333633</v>
      </c>
      <c r="S146" s="60">
        <f ca="1">AVERAGE(OFFSET($R$3,0,0,'Données projet'!$E$9+1,1))-AVERAGE(OFFSET($H$3,0,0,'Données projet'!$E$9+1,1))</f>
        <v>403.49781966317852</v>
      </c>
      <c r="T146" s="60">
        <f t="shared" si="142"/>
        <v>326.06674572505409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0</v>
      </c>
      <c r="AA146" s="23">
        <f>EXP(-LN(2)/25)*AA145+(1-EXP(-LN(2)/25))/(LN(2)/25)*Calculateur!V146*Calculateur!X146*VLOOKUP('Données projet'!$B$9,Paramètres!$A$1:$I$89,3,0)*0.475*44/12</f>
        <v>0</v>
      </c>
      <c r="AB146" s="23">
        <f>EXP(-LN(2)/2)*AB145+(1-EXP(-LN(2)/2))/(LN(2)/2)*V146*Y146*VLOOKUP('Données projet'!$B$9,Paramètres!$A$1:$I$89,3,0)*0.475*44/12</f>
        <v>0</v>
      </c>
      <c r="AC146" s="24">
        <f t="shared" si="111"/>
        <v>0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-1.1368683772161603E-13</v>
      </c>
      <c r="AJ146" s="14">
        <f>AI146*VLOOKUP('Données projet'!$B$10,Paramètres!$A$1:$I$89,3,0)*VLOOKUP('Données projet'!$B$10,Paramètres!$A$1:$I$89,5,0)</f>
        <v>-9.9316821433603781E-14</v>
      </c>
      <c r="AK146" s="14" t="e">
        <f t="shared" si="143"/>
        <v>#NUM!</v>
      </c>
      <c r="AL146" s="22" t="e">
        <f t="shared" si="112"/>
        <v>#NUM!</v>
      </c>
      <c r="AM146" s="60" t="e">
        <f t="shared" si="113"/>
        <v>#NUM!</v>
      </c>
      <c r="AN146" s="60">
        <f ca="1">AVERAGE(OFFSET($AM$3,0,0,'Données projet'!$E$10+1,1))-AVERAGE(OFFSET($H$3,0,0,'Données projet'!$E$10+1,1))</f>
        <v>274.66236526869056</v>
      </c>
      <c r="AO146" s="60">
        <f t="shared" si="144"/>
        <v>256.90876395053073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>
        <f>EXP(-LN(2)/35)*AU145+(1-EXP(-LN(2)/35))/(LN(2)/35)*AQ146*AR146*VLOOKUP('Données projet'!$B$10,Paramètres!$A$1:$I$89,3,0)*0.475*44/12</f>
        <v>0</v>
      </c>
      <c r="AV146" s="23">
        <f>EXP(-LN(2)/25)*AV145+(1-EXP(-LN(2)/25))/(LN(2)/25)*Calculateur!AQ146*Calculateur!AS146*VLOOKUP('Données projet'!$B$10,Paramètres!$A$1:$I$89,3,0)*0.475*44/12</f>
        <v>0</v>
      </c>
      <c r="AW146" s="23">
        <f>EXP(-LN(2)/2)*AW145+(1-EXP(-LN(2)/2))/(LN(2)/2)*AQ146*AT146*VLOOKUP('Données projet'!$B$10,Paramètres!$A$1:$I$89,3,0)*0.475*44/12</f>
        <v>0</v>
      </c>
      <c r="AX146" s="23">
        <f t="shared" si="114"/>
        <v>0</v>
      </c>
      <c r="AY146" s="76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3.5</v>
      </c>
      <c r="BD146" s="13">
        <f>IF('Données projet'!$A$88&gt;35,BD145+BC146-BL145,IF(A146&lt;'Données projet'!$A$88,$BA$205^A146,IF(A146='Données projet'!$A$88,'Données projet'!$B$88,BD145+BC146-BL145)))</f>
        <v>351.49999999999989</v>
      </c>
      <c r="BE146" s="14">
        <f>BD146*VLOOKUP('Données projet'!$B$11,Paramètres!$A$1:$I$89,3,0)*VLOOKUP('Données projet'!$B$11,Paramètres!$A$1:$I$89,5,0)</f>
        <v>318.03719999999987</v>
      </c>
      <c r="BF146" s="14">
        <f t="shared" si="145"/>
        <v>74.944808824911618</v>
      </c>
      <c r="BG146" s="22">
        <f t="shared" si="115"/>
        <v>684.44366537005408</v>
      </c>
      <c r="BH146" s="60">
        <f t="shared" si="116"/>
        <v>977.77699870338733</v>
      </c>
      <c r="BI146" s="60">
        <f ca="1">AVERAGE(OFFSET($BH$3,0,0,'Données projet'!$E$11+1,1))-AVERAGE(OFFSET($H$3,0,0,'Données projet'!$E$11+1,1))</f>
        <v>529.25712986118265</v>
      </c>
      <c r="BJ146" s="60">
        <f t="shared" si="146"/>
        <v>278.21741231699929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>
        <f>EXP(-LN(2)/35)*BP145+(1-EXP(-LN(2)/35))/(LN(2)/35)*BL146*BM146*VLOOKUP('Données projet'!$B$11,Paramètres!$A$1:$I$89,3,0)*0.475*44/12</f>
        <v>0</v>
      </c>
      <c r="BQ146" s="23">
        <f>EXP(-LN(2)/25)*BQ145+(1-EXP(-LN(2)/25))/(LN(2)/25)*Calculateur!BL146*Calculateur!BN146*VLOOKUP('Données projet'!$B$11,Paramètres!$A$1:$I$89,3,0)*0.475*44/12</f>
        <v>0</v>
      </c>
      <c r="BR146" s="23">
        <f>EXP(-LN(2)/2)*BR145+(1-EXP(-LN(2)/2))/(LN(2)/2)*BL146*BO146*VLOOKUP('Données projet'!$B$11,Paramètres!$A$1:$I$89,3,0)*0.475*44/12</f>
        <v>0</v>
      </c>
      <c r="BS146" s="24">
        <f t="shared" si="117"/>
        <v>0</v>
      </c>
      <c r="BT146" s="77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3.5</v>
      </c>
      <c r="BY146" s="13">
        <f>IF('Données projet'!$A$114&gt;35,BY145+BX146-CG145,IF(A146&lt;'Données projet'!$A$114,$BV$205^A146,IF(A146='Données projet'!$A$114,'Données projet'!$B$114,BY145+BX146-CG145)))</f>
        <v>351.49999999999989</v>
      </c>
      <c r="BZ146" s="14">
        <f>BY146*VLOOKUP('Données projet'!$B$12,Paramètres!$A$1:$I$89,3,0)*VLOOKUP('Données projet'!$B$12,Paramètres!$A$1:$I$89,5,0)</f>
        <v>356.42099999999994</v>
      </c>
      <c r="CA146" s="14">
        <f t="shared" si="147"/>
        <v>82.883259681231806</v>
      </c>
      <c r="CB146" s="22">
        <f t="shared" si="118"/>
        <v>765.12158561147862</v>
      </c>
      <c r="CC146" s="60">
        <f t="shared" si="119"/>
        <v>1058.4549189448119</v>
      </c>
      <c r="CD146" s="60">
        <f ca="1">AVERAGE(OFFSET($CC$3,0,0,'Données projet'!$E$12+1,1))-AVERAGE(OFFSET($H$3,0,0,'Données projet'!$E$12+1,1))</f>
        <v>587.74247372331615</v>
      </c>
      <c r="CE146" s="60">
        <f t="shared" si="148"/>
        <v>306.61893266146666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>
        <f>EXP(-LN(2)/35)*CK145+(1-EXP(-LN(2)/35))/(LN(2)/35)*CG146*CH146*VLOOKUP('Données projet'!$B$12,Paramètres!$A$1:$I$89,3,0)*0.475*44/12</f>
        <v>0</v>
      </c>
      <c r="CL146" s="23">
        <f>EXP(-LN(2)/25)*CL145+(1-EXP(-LN(2)/25))/(LN(2)/25)*Calculateur!CG146*Calculateur!CI146*VLOOKUP('Données projet'!$B$12,Paramètres!$A$1:$I$89,3,0)*0.475*44/12</f>
        <v>0</v>
      </c>
      <c r="CM146" s="23">
        <f>EXP(-LN(2)/2)*CM145+(1-EXP(-LN(2)/2))/(LN(2)/2)*CG146*CJ146*VLOOKUP('Données projet'!$B$12,Paramètres!$A$1:$I$89,3,0)*0.475*44/12</f>
        <v>0</v>
      </c>
      <c r="CN146" s="24">
        <f t="shared" si="120"/>
        <v>0</v>
      </c>
      <c r="CO146" s="77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3.5</v>
      </c>
      <c r="CT146" s="13">
        <f>IF('Données projet'!$A$140&gt;35,CT145+CS146-DB145,IF(A146&lt;'Données projet'!$A$140,$CQ$205^A146,IF(A146='Données projet'!$A$140,'Données projet'!$B$140,CT145+CS146-DB145)))</f>
        <v>351.49999999999989</v>
      </c>
      <c r="CU146" s="18">
        <f>CT146*VLOOKUP('Données projet'!$B$13,Paramètres!$A$1:$I$89,3,0)*VLOOKUP('Données projet'!$B$13,Paramètres!$A$1:$I$89,5,0)</f>
        <v>378.35459999999989</v>
      </c>
      <c r="CV146" s="14">
        <f t="shared" si="149"/>
        <v>87.374285546007002</v>
      </c>
      <c r="CW146" s="22">
        <f t="shared" si="121"/>
        <v>811.14447565929538</v>
      </c>
      <c r="CX146" s="60">
        <f t="shared" si="122"/>
        <v>1104.4778089926288</v>
      </c>
      <c r="CY146" s="60">
        <f ca="1">AVERAGE(OFFSET($CX$3,0,0,'Données projet'!$E$13+1,1))-AVERAGE(OFFSET($H$3,0,0,'Données projet'!$E$13+1,1))</f>
        <v>621.10465023992288</v>
      </c>
      <c r="CZ146" s="60">
        <f t="shared" si="150"/>
        <v>322.81767004794284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>
        <f>EXP(-LN(2)/35)*DF145+(1-EXP(-LN(2)/35))/(LN(2)/35)*DB146*DC146*VLOOKUP('Données projet'!$B$13,Paramètres!$A$1:$I$89,3,0)*0.475*44/12</f>
        <v>0</v>
      </c>
      <c r="DG146" s="23">
        <f>EXP(-LN(2)/25)*DG145+(1-EXP(-LN(2)/25))/(LN(2)/25)*Calculateur!DB146*Calculateur!DD146*VLOOKUP('Données projet'!$B$13,Paramètres!$A$1:$I$89,3,0)*0.475*44/12</f>
        <v>0</v>
      </c>
      <c r="DH146" s="23">
        <f>EXP(-LN(2)/2)*DH145+(1-EXP(-LN(2)/2))/(LN(2)/2)*DB146*DE146*VLOOKUP('Données projet'!$B$13,Paramètres!$A$1:$I$89,3,0)*0.475*44/12</f>
        <v>0</v>
      </c>
      <c r="DI146" s="24">
        <f t="shared" si="123"/>
        <v>0</v>
      </c>
      <c r="DJ146" s="77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3.5</v>
      </c>
      <c r="DO146" s="13">
        <f>IF('Données projet'!$A$166&gt;35,DO145+DN146-DW145,IF(A146&lt;'Données projet'!$A$166,$DL$205^A146,IF(A146='Données projet'!$A$166,'Données projet'!$B$166,DO145+DN146-DW145)))</f>
        <v>351.49999999999989</v>
      </c>
      <c r="DP146" s="18">
        <f>DO146*VLOOKUP('Données projet'!$B$14,Paramètres!$A$1:$I$89,3,0)*VLOOKUP('Données projet'!$B$14,Paramètres!$A$1:$I$89,5,0)</f>
        <v>339.97079999999988</v>
      </c>
      <c r="DQ146" s="14">
        <f t="shared" si="151"/>
        <v>79.493913486764498</v>
      </c>
      <c r="DR146" s="22">
        <f t="shared" si="124"/>
        <v>730.5677093227813</v>
      </c>
      <c r="DS146" s="60">
        <f t="shared" si="125"/>
        <v>1023.9010426561147</v>
      </c>
      <c r="DT146" s="60">
        <f ca="1">AVERAGE(OFFSET($DS$3,0,0,'Données projet'!$E$14+1,1))-AVERAGE(OFFSET($H$3,0,0,'Données projet'!$E$14+1,1))</f>
        <v>562.69380557620775</v>
      </c>
      <c r="DU146" s="60">
        <f t="shared" si="152"/>
        <v>294.45557293177131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>
        <f>EXP(-LN(2)/35)*EA145+(1-EXP(-LN(2)/35))/(LN(2)/35)*DW146*DX146*VLOOKUP('Données projet'!$B$14,Paramètres!$A$1:$I$89,3,0)*0.475*44/12</f>
        <v>0</v>
      </c>
      <c r="EB146" s="23">
        <f>EXP(-LN(2)/25)*EB145+(1-EXP(-LN(2)/25))/(LN(2)/25)*Calculateur!DW146*Calculateur!DY146*VLOOKUP('Données projet'!$B$14,Paramètres!$A$1:$I$89,3,0)*0.475*44/12</f>
        <v>0</v>
      </c>
      <c r="EC146" s="23">
        <f>EXP(-LN(2)/2)*EC145+(1-EXP(-LN(2)/2))/(LN(2)/2)*DW146*DZ146*VLOOKUP('Données projet'!$B$14,Paramètres!$A$1:$I$89,3,0)*0.475*44/12</f>
        <v>0</v>
      </c>
      <c r="ED146" s="24">
        <f t="shared" si="126"/>
        <v>0</v>
      </c>
      <c r="EE146" s="77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1.1368683772161603E-13</v>
      </c>
      <c r="EK146" s="18">
        <f>EJ146*VLOOKUP('Données projet'!$B$15,Paramètres!$A$1:$I$89,3,0)*VLOOKUP('Données projet'!$B$15,Paramètres!$A$1:$I$89,5,0)</f>
        <v>8.8675733422860506E-14</v>
      </c>
      <c r="EL146" s="14">
        <f t="shared" si="153"/>
        <v>1.3509285393066301E-12</v>
      </c>
      <c r="EM146" s="22">
        <f t="shared" si="127"/>
        <v>2.5073107750038623E-12</v>
      </c>
      <c r="EN146" s="60">
        <f t="shared" si="128"/>
        <v>293.33333333333582</v>
      </c>
      <c r="EO146" s="60">
        <f ca="1">AVERAGE(OFFSET($EN$3,0,0,'Données projet'!$E$15+1,1))-AVERAGE(OFFSET($H$3,0,0,'Données projet'!$E$15+1,1))</f>
        <v>292.57482726862594</v>
      </c>
      <c r="EP146" s="60">
        <f t="shared" si="154"/>
        <v>283.48738729114024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>
        <f>EXP(-LN(2)/35)*EV145+(1-EXP(-LN(2)/35))/(LN(2)/35)*ER146*ES146*VLOOKUP('Données projet'!$B$15,Paramètres!$A$1:$I$89,3,0)*0.475*44/12</f>
        <v>0</v>
      </c>
      <c r="EW146" s="23">
        <f>EXP(-LN(2)/25)*EW145+(1-EXP(-LN(2)/25))/(LN(2)/25)*Calculateur!ER146*Calculateur!ET146*VLOOKUP('Données projet'!$B$15,Paramètres!$A$1:$I$89,3,0)*0.475*44/12</f>
        <v>0</v>
      </c>
      <c r="EX146" s="23">
        <f>EXP(-LN(2)/2)*EX145+(1-EXP(-LN(2)/2))/(LN(2)/2)*ER146*EU146*VLOOKUP('Données projet'!$B$15,Paramètres!$A$1:$I$89,3,0)*0.475*44/12</f>
        <v>0</v>
      </c>
      <c r="EY146" s="24">
        <f t="shared" si="129"/>
        <v>0</v>
      </c>
      <c r="EZ146" s="77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0" t="e">
        <f t="shared" si="131"/>
        <v>#N/A</v>
      </c>
      <c r="FJ146" s="60" t="e">
        <f ca="1">AVERAGE(OFFSET($FI$3,0,0,'Données projet'!$E$16+1,1))-AVERAGE(OFFSET($H$3,0,0,'Données projet'!$E$16+1,1))</f>
        <v>#N/A</v>
      </c>
      <c r="FK146" s="60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77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0" t="e">
        <f t="shared" si="134"/>
        <v>#N/A</v>
      </c>
      <c r="GE146" s="60" t="e">
        <f ca="1">AVERAGE(OFFSET($GD$3,0,0,'Données projet'!$E$17+1,1))-AVERAGE(OFFSET($H$3,0,0,'Données projet'!$E$17+1,1))</f>
        <v>#N/A</v>
      </c>
      <c r="GF146" s="60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77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0" t="e">
        <f t="shared" si="137"/>
        <v>#N/A</v>
      </c>
      <c r="GZ146" s="60" t="e">
        <f ca="1">AVERAGE(OFFSET($GY$3,0,0,'Données projet'!$E$18+1,1))-AVERAGE(OFFSET($H$3,0,0,'Données projet'!$E$18+1,1))</f>
        <v>#N/A</v>
      </c>
      <c r="HA146" s="60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25">
      <c r="A147" s="11">
        <f t="shared" si="139"/>
        <v>144</v>
      </c>
      <c r="B147" s="74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2">
        <f t="shared" si="140"/>
        <v>0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0</v>
      </c>
      <c r="H147" s="67">
        <f t="shared" si="110"/>
        <v>256.66666666666669</v>
      </c>
      <c r="I147" s="7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1.1368683772161603E-13</v>
      </c>
      <c r="O147" s="14">
        <f>N147*VLOOKUP('Données projet'!$B$9,Paramètres!$A$1:$I$89,3,0)*VLOOKUP('Données projet'!$B$9,Paramètres!$A$1:$I$89,5,0)</f>
        <v>1.0818439477588981E-13</v>
      </c>
      <c r="P147" s="14">
        <f t="shared" si="141"/>
        <v>1.6104228458716316E-12</v>
      </c>
      <c r="Q147" s="22">
        <f t="shared" si="108"/>
        <v>2.9932409441277661E-12</v>
      </c>
      <c r="R147" s="60">
        <f t="shared" si="109"/>
        <v>293.33333333333633</v>
      </c>
      <c r="S147" s="60">
        <f ca="1">AVERAGE(OFFSET($R$3,0,0,'Données projet'!$E$9+1,1))-AVERAGE(OFFSET($H$3,0,0,'Données projet'!$E$9+1,1))</f>
        <v>403.49781966317852</v>
      </c>
      <c r="T147" s="60">
        <f t="shared" si="142"/>
        <v>326.06674572505409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0</v>
      </c>
      <c r="AA147" s="23">
        <f>EXP(-LN(2)/25)*AA146+(1-EXP(-LN(2)/25))/(LN(2)/25)*Calculateur!V147*Calculateur!X147*VLOOKUP('Données projet'!$B$9,Paramètres!$A$1:$I$89,3,0)*0.475*44/12</f>
        <v>0</v>
      </c>
      <c r="AB147" s="23">
        <f>EXP(-LN(2)/2)*AB146+(1-EXP(-LN(2)/2))/(LN(2)/2)*V147*Y147*VLOOKUP('Données projet'!$B$9,Paramètres!$A$1:$I$89,3,0)*0.475*44/12</f>
        <v>0</v>
      </c>
      <c r="AC147" s="24">
        <f t="shared" si="111"/>
        <v>0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-1.1368683772161603E-13</v>
      </c>
      <c r="AJ147" s="14">
        <f>AI147*VLOOKUP('Données projet'!$B$10,Paramètres!$A$1:$I$89,3,0)*VLOOKUP('Données projet'!$B$10,Paramètres!$A$1:$I$89,5,0)</f>
        <v>-9.9316821433603781E-14</v>
      </c>
      <c r="AK147" s="14" t="e">
        <f t="shared" si="143"/>
        <v>#NUM!</v>
      </c>
      <c r="AL147" s="22" t="e">
        <f t="shared" si="112"/>
        <v>#NUM!</v>
      </c>
      <c r="AM147" s="60" t="e">
        <f t="shared" si="113"/>
        <v>#NUM!</v>
      </c>
      <c r="AN147" s="60">
        <f ca="1">AVERAGE(OFFSET($AM$3,0,0,'Données projet'!$E$10+1,1))-AVERAGE(OFFSET($H$3,0,0,'Données projet'!$E$10+1,1))</f>
        <v>274.66236526869056</v>
      </c>
      <c r="AO147" s="60">
        <f t="shared" si="144"/>
        <v>256.90876395053073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>
        <f>EXP(-LN(2)/35)*AU146+(1-EXP(-LN(2)/35))/(LN(2)/35)*AQ147*AR147*VLOOKUP('Données projet'!$B$10,Paramètres!$A$1:$I$89,3,0)*0.475*44/12</f>
        <v>0</v>
      </c>
      <c r="AV147" s="23">
        <f>EXP(-LN(2)/25)*AV146+(1-EXP(-LN(2)/25))/(LN(2)/25)*Calculateur!AQ147*Calculateur!AS147*VLOOKUP('Données projet'!$B$10,Paramètres!$A$1:$I$89,3,0)*0.475*44/12</f>
        <v>0</v>
      </c>
      <c r="AW147" s="23">
        <f>EXP(-LN(2)/2)*AW146+(1-EXP(-LN(2)/2))/(LN(2)/2)*AQ147*AT147*VLOOKUP('Données projet'!$B$10,Paramètres!$A$1:$I$89,3,0)*0.475*44/12</f>
        <v>0</v>
      </c>
      <c r="AX147" s="23">
        <f t="shared" si="114"/>
        <v>0</v>
      </c>
      <c r="AY147" s="76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3.5</v>
      </c>
      <c r="BD147" s="13">
        <f>IF('Données projet'!$A$88&gt;35,BD146+BC147-BL146,IF(A147&lt;'Données projet'!$A$88,$BA$205^A147,IF(A147='Données projet'!$A$88,'Données projet'!$B$88,BD146+BC147-BL146)))</f>
        <v>354.99999999999989</v>
      </c>
      <c r="BE147" s="14">
        <f>BD147*VLOOKUP('Données projet'!$B$11,Paramètres!$A$1:$I$89,3,0)*VLOOKUP('Données projet'!$B$11,Paramètres!$A$1:$I$89,5,0)</f>
        <v>321.20399999999989</v>
      </c>
      <c r="BF147" s="14">
        <f t="shared" si="145"/>
        <v>75.603814497354989</v>
      </c>
      <c r="BG147" s="22">
        <f t="shared" si="115"/>
        <v>691.10694358289311</v>
      </c>
      <c r="BH147" s="60">
        <f t="shared" si="116"/>
        <v>984.44027691622637</v>
      </c>
      <c r="BI147" s="60">
        <f ca="1">AVERAGE(OFFSET($BH$3,0,0,'Données projet'!$E$11+1,1))-AVERAGE(OFFSET($H$3,0,0,'Données projet'!$E$11+1,1))</f>
        <v>529.25712986118265</v>
      </c>
      <c r="BJ147" s="60">
        <f t="shared" si="146"/>
        <v>278.21741231699929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>
        <f>EXP(-LN(2)/35)*BP146+(1-EXP(-LN(2)/35))/(LN(2)/35)*BL147*BM147*VLOOKUP('Données projet'!$B$11,Paramètres!$A$1:$I$89,3,0)*0.475*44/12</f>
        <v>0</v>
      </c>
      <c r="BQ147" s="23">
        <f>EXP(-LN(2)/25)*BQ146+(1-EXP(-LN(2)/25))/(LN(2)/25)*Calculateur!BL147*Calculateur!BN147*VLOOKUP('Données projet'!$B$11,Paramètres!$A$1:$I$89,3,0)*0.475*44/12</f>
        <v>0</v>
      </c>
      <c r="BR147" s="23">
        <f>EXP(-LN(2)/2)*BR146+(1-EXP(-LN(2)/2))/(LN(2)/2)*BL147*BO147*VLOOKUP('Données projet'!$B$11,Paramètres!$A$1:$I$89,3,0)*0.475*44/12</f>
        <v>0</v>
      </c>
      <c r="BS147" s="24">
        <f t="shared" si="117"/>
        <v>0</v>
      </c>
      <c r="BT147" s="77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3.5</v>
      </c>
      <c r="BY147" s="13">
        <f>IF('Données projet'!$A$114&gt;35,BY146+BX147-CG146,IF(A147&lt;'Données projet'!$A$114,$BV$205^A147,IF(A147='Données projet'!$A$114,'Données projet'!$B$114,BY146+BX147-CG146)))</f>
        <v>354.99999999999989</v>
      </c>
      <c r="BZ147" s="14">
        <f>BY147*VLOOKUP('Données projet'!$B$12,Paramètres!$A$1:$I$89,3,0)*VLOOKUP('Données projet'!$B$12,Paramètres!$A$1:$I$89,5,0)</f>
        <v>359.96999999999991</v>
      </c>
      <c r="CA147" s="14">
        <f t="shared" si="147"/>
        <v>83.612069843495831</v>
      </c>
      <c r="CB147" s="22">
        <f t="shared" si="118"/>
        <v>772.57210497742165</v>
      </c>
      <c r="CC147" s="60">
        <f t="shared" si="119"/>
        <v>1065.905438310755</v>
      </c>
      <c r="CD147" s="60">
        <f ca="1">AVERAGE(OFFSET($CC$3,0,0,'Données projet'!$E$12+1,1))-AVERAGE(OFFSET($H$3,0,0,'Données projet'!$E$12+1,1))</f>
        <v>587.74247372331615</v>
      </c>
      <c r="CE147" s="60">
        <f t="shared" si="148"/>
        <v>306.61893266146666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>
        <f>EXP(-LN(2)/35)*CK146+(1-EXP(-LN(2)/35))/(LN(2)/35)*CG147*CH147*VLOOKUP('Données projet'!$B$12,Paramètres!$A$1:$I$89,3,0)*0.475*44/12</f>
        <v>0</v>
      </c>
      <c r="CL147" s="23">
        <f>EXP(-LN(2)/25)*CL146+(1-EXP(-LN(2)/25))/(LN(2)/25)*Calculateur!CG147*Calculateur!CI147*VLOOKUP('Données projet'!$B$12,Paramètres!$A$1:$I$89,3,0)*0.475*44/12</f>
        <v>0</v>
      </c>
      <c r="CM147" s="23">
        <f>EXP(-LN(2)/2)*CM146+(1-EXP(-LN(2)/2))/(LN(2)/2)*CG147*CJ147*VLOOKUP('Données projet'!$B$12,Paramètres!$A$1:$I$89,3,0)*0.475*44/12</f>
        <v>0</v>
      </c>
      <c r="CN147" s="24">
        <f t="shared" si="120"/>
        <v>0</v>
      </c>
      <c r="CO147" s="77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3.5</v>
      </c>
      <c r="CT147" s="13">
        <f>IF('Données projet'!$A$140&gt;35,CT146+CS147-DB146,IF(A147&lt;'Données projet'!$A$140,$CQ$205^A147,IF(A147='Données projet'!$A$140,'Données projet'!$B$140,CT146+CS147-DB146)))</f>
        <v>354.99999999999989</v>
      </c>
      <c r="CU147" s="18">
        <f>CT147*VLOOKUP('Données projet'!$B$13,Paramètres!$A$1:$I$89,3,0)*VLOOKUP('Données projet'!$B$13,Paramètres!$A$1:$I$89,5,0)</f>
        <v>382.12199999999984</v>
      </c>
      <c r="CV147" s="14">
        <f t="shared" si="149"/>
        <v>88.142586255600193</v>
      </c>
      <c r="CW147" s="22">
        <f t="shared" si="121"/>
        <v>819.04415439517004</v>
      </c>
      <c r="CX147" s="60">
        <f t="shared" si="122"/>
        <v>1112.3774877285034</v>
      </c>
      <c r="CY147" s="60">
        <f ca="1">AVERAGE(OFFSET($CX$3,0,0,'Données projet'!$E$13+1,1))-AVERAGE(OFFSET($H$3,0,0,'Données projet'!$E$13+1,1))</f>
        <v>621.10465023992288</v>
      </c>
      <c r="CZ147" s="60">
        <f t="shared" si="150"/>
        <v>322.81767004794284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>
        <f>EXP(-LN(2)/35)*DF146+(1-EXP(-LN(2)/35))/(LN(2)/35)*DB147*DC147*VLOOKUP('Données projet'!$B$13,Paramètres!$A$1:$I$89,3,0)*0.475*44/12</f>
        <v>0</v>
      </c>
      <c r="DG147" s="23">
        <f>EXP(-LN(2)/25)*DG146+(1-EXP(-LN(2)/25))/(LN(2)/25)*Calculateur!DB147*Calculateur!DD147*VLOOKUP('Données projet'!$B$13,Paramètres!$A$1:$I$89,3,0)*0.475*44/12</f>
        <v>0</v>
      </c>
      <c r="DH147" s="23">
        <f>EXP(-LN(2)/2)*DH146+(1-EXP(-LN(2)/2))/(LN(2)/2)*DB147*DE147*VLOOKUP('Données projet'!$B$13,Paramètres!$A$1:$I$89,3,0)*0.475*44/12</f>
        <v>0</v>
      </c>
      <c r="DI147" s="24">
        <f t="shared" si="123"/>
        <v>0</v>
      </c>
      <c r="DJ147" s="77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3.5</v>
      </c>
      <c r="DO147" s="13">
        <f>IF('Données projet'!$A$166&gt;35,DO146+DN147-DW146,IF(A147&lt;'Données projet'!$A$166,$DL$205^A147,IF(A147='Données projet'!$A$166,'Données projet'!$B$166,DO146+DN147-DW146)))</f>
        <v>354.99999999999989</v>
      </c>
      <c r="DP147" s="18">
        <f>DO147*VLOOKUP('Données projet'!$B$14,Paramètres!$A$1:$I$89,3,0)*VLOOKUP('Données projet'!$B$14,Paramètres!$A$1:$I$89,5,0)</f>
        <v>343.35599999999994</v>
      </c>
      <c r="DQ147" s="14">
        <f t="shared" si="151"/>
        <v>80.192920405774515</v>
      </c>
      <c r="DR147" s="22">
        <f t="shared" si="124"/>
        <v>737.68103637339038</v>
      </c>
      <c r="DS147" s="60">
        <f t="shared" si="125"/>
        <v>1031.0143697067238</v>
      </c>
      <c r="DT147" s="60">
        <f ca="1">AVERAGE(OFFSET($DS$3,0,0,'Données projet'!$E$14+1,1))-AVERAGE(OFFSET($H$3,0,0,'Données projet'!$E$14+1,1))</f>
        <v>562.69380557620775</v>
      </c>
      <c r="DU147" s="60">
        <f t="shared" si="152"/>
        <v>294.45557293177131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>
        <f>EXP(-LN(2)/35)*EA146+(1-EXP(-LN(2)/35))/(LN(2)/35)*DW147*DX147*VLOOKUP('Données projet'!$B$14,Paramètres!$A$1:$I$89,3,0)*0.475*44/12</f>
        <v>0</v>
      </c>
      <c r="EB147" s="23">
        <f>EXP(-LN(2)/25)*EB146+(1-EXP(-LN(2)/25))/(LN(2)/25)*Calculateur!DW147*Calculateur!DY147*VLOOKUP('Données projet'!$B$14,Paramètres!$A$1:$I$89,3,0)*0.475*44/12</f>
        <v>0</v>
      </c>
      <c r="EC147" s="23">
        <f>EXP(-LN(2)/2)*EC146+(1-EXP(-LN(2)/2))/(LN(2)/2)*DW147*DZ147*VLOOKUP('Données projet'!$B$14,Paramètres!$A$1:$I$89,3,0)*0.475*44/12</f>
        <v>0</v>
      </c>
      <c r="ED147" s="24">
        <f t="shared" si="126"/>
        <v>0</v>
      </c>
      <c r="EE147" s="77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1.1368683772161603E-13</v>
      </c>
      <c r="EK147" s="18">
        <f>EJ147*VLOOKUP('Données projet'!$B$15,Paramètres!$A$1:$I$89,3,0)*VLOOKUP('Données projet'!$B$15,Paramètres!$A$1:$I$89,5,0)</f>
        <v>8.8675733422860506E-14</v>
      </c>
      <c r="EL147" s="14">
        <f t="shared" si="153"/>
        <v>1.3509285393066301E-12</v>
      </c>
      <c r="EM147" s="22">
        <f t="shared" si="127"/>
        <v>2.5073107750038623E-12</v>
      </c>
      <c r="EN147" s="60">
        <f t="shared" si="128"/>
        <v>293.33333333333582</v>
      </c>
      <c r="EO147" s="60">
        <f ca="1">AVERAGE(OFFSET($EN$3,0,0,'Données projet'!$E$15+1,1))-AVERAGE(OFFSET($H$3,0,0,'Données projet'!$E$15+1,1))</f>
        <v>292.57482726862594</v>
      </c>
      <c r="EP147" s="60">
        <f t="shared" si="154"/>
        <v>283.48738729114024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>
        <f>EXP(-LN(2)/35)*EV146+(1-EXP(-LN(2)/35))/(LN(2)/35)*ER147*ES147*VLOOKUP('Données projet'!$B$15,Paramètres!$A$1:$I$89,3,0)*0.475*44/12</f>
        <v>0</v>
      </c>
      <c r="EW147" s="23">
        <f>EXP(-LN(2)/25)*EW146+(1-EXP(-LN(2)/25))/(LN(2)/25)*Calculateur!ER147*Calculateur!ET147*VLOOKUP('Données projet'!$B$15,Paramètres!$A$1:$I$89,3,0)*0.475*44/12</f>
        <v>0</v>
      </c>
      <c r="EX147" s="23">
        <f>EXP(-LN(2)/2)*EX146+(1-EXP(-LN(2)/2))/(LN(2)/2)*ER147*EU147*VLOOKUP('Données projet'!$B$15,Paramètres!$A$1:$I$89,3,0)*0.475*44/12</f>
        <v>0</v>
      </c>
      <c r="EY147" s="24">
        <f t="shared" si="129"/>
        <v>0</v>
      </c>
      <c r="EZ147" s="77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0" t="e">
        <f t="shared" si="131"/>
        <v>#N/A</v>
      </c>
      <c r="FJ147" s="60" t="e">
        <f ca="1">AVERAGE(OFFSET($FI$3,0,0,'Données projet'!$E$16+1,1))-AVERAGE(OFFSET($H$3,0,0,'Données projet'!$E$16+1,1))</f>
        <v>#N/A</v>
      </c>
      <c r="FK147" s="60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77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0" t="e">
        <f t="shared" si="134"/>
        <v>#N/A</v>
      </c>
      <c r="GE147" s="60" t="e">
        <f ca="1">AVERAGE(OFFSET($GD$3,0,0,'Données projet'!$E$17+1,1))-AVERAGE(OFFSET($H$3,0,0,'Données projet'!$E$17+1,1))</f>
        <v>#N/A</v>
      </c>
      <c r="GF147" s="60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77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0" t="e">
        <f t="shared" si="137"/>
        <v>#N/A</v>
      </c>
      <c r="GZ147" s="60" t="e">
        <f ca="1">AVERAGE(OFFSET($GY$3,0,0,'Données projet'!$E$18+1,1))-AVERAGE(OFFSET($H$3,0,0,'Données projet'!$E$18+1,1))</f>
        <v>#N/A</v>
      </c>
      <c r="HA147" s="60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25">
      <c r="A148" s="11">
        <f t="shared" si="139"/>
        <v>145</v>
      </c>
      <c r="B148" s="74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2">
        <f t="shared" si="140"/>
        <v>0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0</v>
      </c>
      <c r="H148" s="67">
        <f t="shared" si="110"/>
        <v>256.66666666666669</v>
      </c>
      <c r="I148" s="7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1.1368683772161603E-13</v>
      </c>
      <c r="O148" s="14">
        <f>N148*VLOOKUP('Données projet'!$B$9,Paramètres!$A$1:$I$89,3,0)*VLOOKUP('Données projet'!$B$9,Paramètres!$A$1:$I$89,5,0)</f>
        <v>1.0818439477588981E-13</v>
      </c>
      <c r="P148" s="14">
        <f t="shared" si="141"/>
        <v>1.6104228458716316E-12</v>
      </c>
      <c r="Q148" s="22">
        <f t="shared" si="108"/>
        <v>2.9932409441277661E-12</v>
      </c>
      <c r="R148" s="60">
        <f t="shared" si="109"/>
        <v>293.33333333333633</v>
      </c>
      <c r="S148" s="60">
        <f ca="1">AVERAGE(OFFSET($R$3,0,0,'Données projet'!$E$9+1,1))-AVERAGE(OFFSET($H$3,0,0,'Données projet'!$E$9+1,1))</f>
        <v>403.49781966317852</v>
      </c>
      <c r="T148" s="60">
        <f t="shared" si="142"/>
        <v>326.06674572505409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0</v>
      </c>
      <c r="AA148" s="23">
        <f>EXP(-LN(2)/25)*AA147+(1-EXP(-LN(2)/25))/(LN(2)/25)*Calculateur!V148*Calculateur!X148*VLOOKUP('Données projet'!$B$9,Paramètres!$A$1:$I$89,3,0)*0.475*44/12</f>
        <v>0</v>
      </c>
      <c r="AB148" s="23">
        <f>EXP(-LN(2)/2)*AB147+(1-EXP(-LN(2)/2))/(LN(2)/2)*V148*Y148*VLOOKUP('Données projet'!$B$9,Paramètres!$A$1:$I$89,3,0)*0.475*44/12</f>
        <v>0</v>
      </c>
      <c r="AC148" s="24">
        <f t="shared" si="111"/>
        <v>0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-1.1368683772161603E-13</v>
      </c>
      <c r="AJ148" s="14">
        <f>AI148*VLOOKUP('Données projet'!$B$10,Paramètres!$A$1:$I$89,3,0)*VLOOKUP('Données projet'!$B$10,Paramètres!$A$1:$I$89,5,0)</f>
        <v>-9.9316821433603781E-14</v>
      </c>
      <c r="AK148" s="14" t="e">
        <f t="shared" si="143"/>
        <v>#NUM!</v>
      </c>
      <c r="AL148" s="22" t="e">
        <f t="shared" si="112"/>
        <v>#NUM!</v>
      </c>
      <c r="AM148" s="60" t="e">
        <f t="shared" si="113"/>
        <v>#NUM!</v>
      </c>
      <c r="AN148" s="60">
        <f ca="1">AVERAGE(OFFSET($AM$3,0,0,'Données projet'!$E$10+1,1))-AVERAGE(OFFSET($H$3,0,0,'Données projet'!$E$10+1,1))</f>
        <v>274.66236526869056</v>
      </c>
      <c r="AO148" s="60">
        <f t="shared" si="144"/>
        <v>256.90876395053073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>
        <f>EXP(-LN(2)/35)*AU147+(1-EXP(-LN(2)/35))/(LN(2)/35)*AQ148*AR148*VLOOKUP('Données projet'!$B$10,Paramètres!$A$1:$I$89,3,0)*0.475*44/12</f>
        <v>0</v>
      </c>
      <c r="AV148" s="23">
        <f>EXP(-LN(2)/25)*AV147+(1-EXP(-LN(2)/25))/(LN(2)/25)*Calculateur!AQ148*Calculateur!AS148*VLOOKUP('Données projet'!$B$10,Paramètres!$A$1:$I$89,3,0)*0.475*44/12</f>
        <v>0</v>
      </c>
      <c r="AW148" s="23">
        <f>EXP(-LN(2)/2)*AW147+(1-EXP(-LN(2)/2))/(LN(2)/2)*AQ148*AT148*VLOOKUP('Données projet'!$B$10,Paramètres!$A$1:$I$89,3,0)*0.475*44/12</f>
        <v>0</v>
      </c>
      <c r="AX148" s="23">
        <f t="shared" si="114"/>
        <v>0</v>
      </c>
      <c r="AY148" s="76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3.5</v>
      </c>
      <c r="BD148" s="13">
        <f>IF('Données projet'!$A$88&gt;35,BD147+BC148-BL147,IF(A148&lt;'Données projet'!$A$88,$BA$205^A148,IF(A148='Données projet'!$A$88,'Données projet'!$B$88,BD147+BC148-BL147)))</f>
        <v>358.49999999999989</v>
      </c>
      <c r="BE148" s="14">
        <f>BD148*VLOOKUP('Données projet'!$B$11,Paramètres!$A$1:$I$89,3,0)*VLOOKUP('Données projet'!$B$11,Paramètres!$A$1:$I$89,5,0)</f>
        <v>324.37079999999986</v>
      </c>
      <c r="BF148" s="14">
        <f t="shared" si="145"/>
        <v>76.262064312013905</v>
      </c>
      <c r="BG148" s="22">
        <f t="shared" si="115"/>
        <v>697.76890534342408</v>
      </c>
      <c r="BH148" s="60">
        <f t="shared" si="116"/>
        <v>991.10223867675745</v>
      </c>
      <c r="BI148" s="60">
        <f ca="1">AVERAGE(OFFSET($BH$3,0,0,'Données projet'!$E$11+1,1))-AVERAGE(OFFSET($H$3,0,0,'Données projet'!$E$11+1,1))</f>
        <v>529.25712986118265</v>
      </c>
      <c r="BJ148" s="60">
        <f t="shared" si="146"/>
        <v>278.21741231699929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>
        <f>EXP(-LN(2)/35)*BP147+(1-EXP(-LN(2)/35))/(LN(2)/35)*BL148*BM148*VLOOKUP('Données projet'!$B$11,Paramètres!$A$1:$I$89,3,0)*0.475*44/12</f>
        <v>0</v>
      </c>
      <c r="BQ148" s="23">
        <f>EXP(-LN(2)/25)*BQ147+(1-EXP(-LN(2)/25))/(LN(2)/25)*Calculateur!BL148*Calculateur!BN148*VLOOKUP('Données projet'!$B$11,Paramètres!$A$1:$I$89,3,0)*0.475*44/12</f>
        <v>0</v>
      </c>
      <c r="BR148" s="23">
        <f>EXP(-LN(2)/2)*BR147+(1-EXP(-LN(2)/2))/(LN(2)/2)*BL148*BO148*VLOOKUP('Données projet'!$B$11,Paramètres!$A$1:$I$89,3,0)*0.475*44/12</f>
        <v>0</v>
      </c>
      <c r="BS148" s="24">
        <f t="shared" si="117"/>
        <v>0</v>
      </c>
      <c r="BT148" s="77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3.5</v>
      </c>
      <c r="BY148" s="13">
        <f>IF('Données projet'!$A$114&gt;35,BY147+BX148-CG147,IF(A148&lt;'Données projet'!$A$114,$BV$205^A148,IF(A148='Données projet'!$A$114,'Données projet'!$B$114,BY147+BX148-CG147)))</f>
        <v>358.49999999999989</v>
      </c>
      <c r="BZ148" s="14">
        <f>BY148*VLOOKUP('Données projet'!$B$12,Paramètres!$A$1:$I$89,3,0)*VLOOKUP('Données projet'!$B$12,Paramètres!$A$1:$I$89,5,0)</f>
        <v>363.51899999999989</v>
      </c>
      <c r="CA148" s="14">
        <f t="shared" si="147"/>
        <v>84.340044084526426</v>
      </c>
      <c r="CB148" s="22">
        <f t="shared" si="118"/>
        <v>780.02116844721661</v>
      </c>
      <c r="CC148" s="60">
        <f t="shared" si="119"/>
        <v>1073.35450178055</v>
      </c>
      <c r="CD148" s="60">
        <f ca="1">AVERAGE(OFFSET($CC$3,0,0,'Données projet'!$E$12+1,1))-AVERAGE(OFFSET($H$3,0,0,'Données projet'!$E$12+1,1))</f>
        <v>587.74247372331615</v>
      </c>
      <c r="CE148" s="60">
        <f t="shared" si="148"/>
        <v>306.61893266146666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>
        <f>EXP(-LN(2)/35)*CK147+(1-EXP(-LN(2)/35))/(LN(2)/35)*CG148*CH148*VLOOKUP('Données projet'!$B$12,Paramètres!$A$1:$I$89,3,0)*0.475*44/12</f>
        <v>0</v>
      </c>
      <c r="CL148" s="23">
        <f>EXP(-LN(2)/25)*CL147+(1-EXP(-LN(2)/25))/(LN(2)/25)*Calculateur!CG148*Calculateur!CI148*VLOOKUP('Données projet'!$B$12,Paramètres!$A$1:$I$89,3,0)*0.475*44/12</f>
        <v>0</v>
      </c>
      <c r="CM148" s="23">
        <f>EXP(-LN(2)/2)*CM147+(1-EXP(-LN(2)/2))/(LN(2)/2)*CG148*CJ148*VLOOKUP('Données projet'!$B$12,Paramètres!$A$1:$I$89,3,0)*0.475*44/12</f>
        <v>0</v>
      </c>
      <c r="CN148" s="24">
        <f t="shared" si="120"/>
        <v>0</v>
      </c>
      <c r="CO148" s="77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3.5</v>
      </c>
      <c r="CT148" s="13">
        <f>IF('Données projet'!$A$140&gt;35,CT147+CS148-DB147,IF(A148&lt;'Données projet'!$A$140,$CQ$205^A148,IF(A148='Données projet'!$A$140,'Données projet'!$B$140,CT147+CS148-DB147)))</f>
        <v>358.49999999999989</v>
      </c>
      <c r="CU148" s="18">
        <f>CT148*VLOOKUP('Données projet'!$B$13,Paramètres!$A$1:$I$89,3,0)*VLOOKUP('Données projet'!$B$13,Paramètres!$A$1:$I$89,5,0)</f>
        <v>385.88939999999985</v>
      </c>
      <c r="CV148" s="14">
        <f t="shared" si="149"/>
        <v>88.91000574960394</v>
      </c>
      <c r="CW148" s="22">
        <f t="shared" si="121"/>
        <v>826.94229834722648</v>
      </c>
      <c r="CX148" s="60">
        <f t="shared" si="122"/>
        <v>1120.2756316805599</v>
      </c>
      <c r="CY148" s="60">
        <f ca="1">AVERAGE(OFFSET($CX$3,0,0,'Données projet'!$E$13+1,1))-AVERAGE(OFFSET($H$3,0,0,'Données projet'!$E$13+1,1))</f>
        <v>621.10465023992288</v>
      </c>
      <c r="CZ148" s="60">
        <f t="shared" si="150"/>
        <v>322.81767004794284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>
        <f>EXP(-LN(2)/35)*DF147+(1-EXP(-LN(2)/35))/(LN(2)/35)*DB148*DC148*VLOOKUP('Données projet'!$B$13,Paramètres!$A$1:$I$89,3,0)*0.475*44/12</f>
        <v>0</v>
      </c>
      <c r="DG148" s="23">
        <f>EXP(-LN(2)/25)*DG147+(1-EXP(-LN(2)/25))/(LN(2)/25)*Calculateur!DB148*Calculateur!DD148*VLOOKUP('Données projet'!$B$13,Paramètres!$A$1:$I$89,3,0)*0.475*44/12</f>
        <v>0</v>
      </c>
      <c r="DH148" s="23">
        <f>EXP(-LN(2)/2)*DH147+(1-EXP(-LN(2)/2))/(LN(2)/2)*DB148*DE148*VLOOKUP('Données projet'!$B$13,Paramètres!$A$1:$I$89,3,0)*0.475*44/12</f>
        <v>0</v>
      </c>
      <c r="DI148" s="24">
        <f t="shared" si="123"/>
        <v>0</v>
      </c>
      <c r="DJ148" s="77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3.5</v>
      </c>
      <c r="DO148" s="13">
        <f>IF('Données projet'!$A$166&gt;35,DO147+DN148-DW147,IF(A148&lt;'Données projet'!$A$166,$DL$205^A148,IF(A148='Données projet'!$A$166,'Données projet'!$B$166,DO147+DN148-DW147)))</f>
        <v>358.49999999999989</v>
      </c>
      <c r="DP148" s="18">
        <f>DO148*VLOOKUP('Données projet'!$B$14,Paramètres!$A$1:$I$89,3,0)*VLOOKUP('Données projet'!$B$14,Paramètres!$A$1:$I$89,5,0)</f>
        <v>346.74119999999988</v>
      </c>
      <c r="DQ148" s="14">
        <f t="shared" si="151"/>
        <v>80.891125586888961</v>
      </c>
      <c r="DR148" s="22">
        <f t="shared" si="124"/>
        <v>744.79296706383138</v>
      </c>
      <c r="DS148" s="60">
        <f t="shared" si="125"/>
        <v>1038.1263003971646</v>
      </c>
      <c r="DT148" s="60">
        <f ca="1">AVERAGE(OFFSET($DS$3,0,0,'Données projet'!$E$14+1,1))-AVERAGE(OFFSET($H$3,0,0,'Données projet'!$E$14+1,1))</f>
        <v>562.69380557620775</v>
      </c>
      <c r="DU148" s="60">
        <f t="shared" si="152"/>
        <v>294.45557293177131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>
        <f>EXP(-LN(2)/35)*EA147+(1-EXP(-LN(2)/35))/(LN(2)/35)*DW148*DX148*VLOOKUP('Données projet'!$B$14,Paramètres!$A$1:$I$89,3,0)*0.475*44/12</f>
        <v>0</v>
      </c>
      <c r="EB148" s="23">
        <f>EXP(-LN(2)/25)*EB147+(1-EXP(-LN(2)/25))/(LN(2)/25)*Calculateur!DW148*Calculateur!DY148*VLOOKUP('Données projet'!$B$14,Paramètres!$A$1:$I$89,3,0)*0.475*44/12</f>
        <v>0</v>
      </c>
      <c r="EC148" s="23">
        <f>EXP(-LN(2)/2)*EC147+(1-EXP(-LN(2)/2))/(LN(2)/2)*DW148*DZ148*VLOOKUP('Données projet'!$B$14,Paramètres!$A$1:$I$89,3,0)*0.475*44/12</f>
        <v>0</v>
      </c>
      <c r="ED148" s="24">
        <f t="shared" si="126"/>
        <v>0</v>
      </c>
      <c r="EE148" s="77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1.1368683772161603E-13</v>
      </c>
      <c r="EK148" s="18">
        <f>EJ148*VLOOKUP('Données projet'!$B$15,Paramètres!$A$1:$I$89,3,0)*VLOOKUP('Données projet'!$B$15,Paramètres!$A$1:$I$89,5,0)</f>
        <v>8.8675733422860506E-14</v>
      </c>
      <c r="EL148" s="14">
        <f t="shared" si="153"/>
        <v>1.3509285393066301E-12</v>
      </c>
      <c r="EM148" s="22">
        <f t="shared" si="127"/>
        <v>2.5073107750038623E-12</v>
      </c>
      <c r="EN148" s="60">
        <f t="shared" si="128"/>
        <v>293.33333333333582</v>
      </c>
      <c r="EO148" s="60">
        <f ca="1">AVERAGE(OFFSET($EN$3,0,0,'Données projet'!$E$15+1,1))-AVERAGE(OFFSET($H$3,0,0,'Données projet'!$E$15+1,1))</f>
        <v>292.57482726862594</v>
      </c>
      <c r="EP148" s="60">
        <f t="shared" si="154"/>
        <v>283.48738729114024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>
        <f>EXP(-LN(2)/35)*EV147+(1-EXP(-LN(2)/35))/(LN(2)/35)*ER148*ES148*VLOOKUP('Données projet'!$B$15,Paramètres!$A$1:$I$89,3,0)*0.475*44/12</f>
        <v>0</v>
      </c>
      <c r="EW148" s="23">
        <f>EXP(-LN(2)/25)*EW147+(1-EXP(-LN(2)/25))/(LN(2)/25)*Calculateur!ER148*Calculateur!ET148*VLOOKUP('Données projet'!$B$15,Paramètres!$A$1:$I$89,3,0)*0.475*44/12</f>
        <v>0</v>
      </c>
      <c r="EX148" s="23">
        <f>EXP(-LN(2)/2)*EX147+(1-EXP(-LN(2)/2))/(LN(2)/2)*ER148*EU148*VLOOKUP('Données projet'!$B$15,Paramètres!$A$1:$I$89,3,0)*0.475*44/12</f>
        <v>0</v>
      </c>
      <c r="EY148" s="24">
        <f t="shared" si="129"/>
        <v>0</v>
      </c>
      <c r="EZ148" s="77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0" t="e">
        <f t="shared" si="131"/>
        <v>#N/A</v>
      </c>
      <c r="FJ148" s="60" t="e">
        <f ca="1">AVERAGE(OFFSET($FI$3,0,0,'Données projet'!$E$16+1,1))-AVERAGE(OFFSET($H$3,0,0,'Données projet'!$E$16+1,1))</f>
        <v>#N/A</v>
      </c>
      <c r="FK148" s="60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77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0" t="e">
        <f t="shared" si="134"/>
        <v>#N/A</v>
      </c>
      <c r="GE148" s="60" t="e">
        <f ca="1">AVERAGE(OFFSET($GD$3,0,0,'Données projet'!$E$17+1,1))-AVERAGE(OFFSET($H$3,0,0,'Données projet'!$E$17+1,1))</f>
        <v>#N/A</v>
      </c>
      <c r="GF148" s="60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77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0" t="e">
        <f t="shared" si="137"/>
        <v>#N/A</v>
      </c>
      <c r="GZ148" s="60" t="e">
        <f ca="1">AVERAGE(OFFSET($GY$3,0,0,'Données projet'!$E$18+1,1))-AVERAGE(OFFSET($H$3,0,0,'Données projet'!$E$18+1,1))</f>
        <v>#N/A</v>
      </c>
      <c r="HA148" s="60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25">
      <c r="A149" s="11">
        <f t="shared" si="139"/>
        <v>146</v>
      </c>
      <c r="B149" s="74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2">
        <f t="shared" si="140"/>
        <v>0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0</v>
      </c>
      <c r="H149" s="67">
        <f t="shared" si="110"/>
        <v>256.66666666666669</v>
      </c>
      <c r="I149" s="7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1.1368683772161603E-13</v>
      </c>
      <c r="O149" s="14">
        <f>N149*VLOOKUP('Données projet'!$B$9,Paramètres!$A$1:$I$89,3,0)*VLOOKUP('Données projet'!$B$9,Paramètres!$A$1:$I$89,5,0)</f>
        <v>1.0818439477588981E-13</v>
      </c>
      <c r="P149" s="14">
        <f t="shared" si="141"/>
        <v>1.6104228458716316E-12</v>
      </c>
      <c r="Q149" s="22">
        <f t="shared" si="108"/>
        <v>2.9932409441277661E-12</v>
      </c>
      <c r="R149" s="60">
        <f t="shared" si="109"/>
        <v>293.33333333333633</v>
      </c>
      <c r="S149" s="60">
        <f ca="1">AVERAGE(OFFSET($R$3,0,0,'Données projet'!$E$9+1,1))-AVERAGE(OFFSET($H$3,0,0,'Données projet'!$E$9+1,1))</f>
        <v>403.49781966317852</v>
      </c>
      <c r="T149" s="60">
        <f t="shared" si="142"/>
        <v>326.06674572505409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0</v>
      </c>
      <c r="AA149" s="23">
        <f>EXP(-LN(2)/25)*AA148+(1-EXP(-LN(2)/25))/(LN(2)/25)*Calculateur!V149*Calculateur!X149*VLOOKUP('Données projet'!$B$9,Paramètres!$A$1:$I$89,3,0)*0.475*44/12</f>
        <v>0</v>
      </c>
      <c r="AB149" s="23">
        <f>EXP(-LN(2)/2)*AB148+(1-EXP(-LN(2)/2))/(LN(2)/2)*V149*Y149*VLOOKUP('Données projet'!$B$9,Paramètres!$A$1:$I$89,3,0)*0.475*44/12</f>
        <v>0</v>
      </c>
      <c r="AC149" s="24">
        <f t="shared" si="111"/>
        <v>0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-1.1368683772161603E-13</v>
      </c>
      <c r="AJ149" s="14">
        <f>AI149*VLOOKUP('Données projet'!$B$10,Paramètres!$A$1:$I$89,3,0)*VLOOKUP('Données projet'!$B$10,Paramètres!$A$1:$I$89,5,0)</f>
        <v>-9.9316821433603781E-14</v>
      </c>
      <c r="AK149" s="14" t="e">
        <f t="shared" si="143"/>
        <v>#NUM!</v>
      </c>
      <c r="AL149" s="22" t="e">
        <f t="shared" si="112"/>
        <v>#NUM!</v>
      </c>
      <c r="AM149" s="60" t="e">
        <f t="shared" si="113"/>
        <v>#NUM!</v>
      </c>
      <c r="AN149" s="60">
        <f ca="1">AVERAGE(OFFSET($AM$3,0,0,'Données projet'!$E$10+1,1))-AVERAGE(OFFSET($H$3,0,0,'Données projet'!$E$10+1,1))</f>
        <v>274.66236526869056</v>
      </c>
      <c r="AO149" s="60">
        <f t="shared" si="144"/>
        <v>256.90876395053073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>
        <f>EXP(-LN(2)/35)*AU148+(1-EXP(-LN(2)/35))/(LN(2)/35)*AQ149*AR149*VLOOKUP('Données projet'!$B$10,Paramètres!$A$1:$I$89,3,0)*0.475*44/12</f>
        <v>0</v>
      </c>
      <c r="AV149" s="23">
        <f>EXP(-LN(2)/25)*AV148+(1-EXP(-LN(2)/25))/(LN(2)/25)*Calculateur!AQ149*Calculateur!AS149*VLOOKUP('Données projet'!$B$10,Paramètres!$A$1:$I$89,3,0)*0.475*44/12</f>
        <v>0</v>
      </c>
      <c r="AW149" s="23">
        <f>EXP(-LN(2)/2)*AW148+(1-EXP(-LN(2)/2))/(LN(2)/2)*AQ149*AT149*VLOOKUP('Données projet'!$B$10,Paramètres!$A$1:$I$89,3,0)*0.475*44/12</f>
        <v>0</v>
      </c>
      <c r="AX149" s="23">
        <f t="shared" si="114"/>
        <v>0</v>
      </c>
      <c r="AY149" s="76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3.5</v>
      </c>
      <c r="BD149" s="13">
        <f>IF('Données projet'!$A$88&gt;35,BD148+BC149-BL148,IF(A149&lt;'Données projet'!$A$88,$BA$205^A149,IF(A149='Données projet'!$A$88,'Données projet'!$B$88,BD148+BC149-BL148)))</f>
        <v>361.99999999999989</v>
      </c>
      <c r="BE149" s="14">
        <f>BD149*VLOOKUP('Données projet'!$B$11,Paramètres!$A$1:$I$89,3,0)*VLOOKUP('Données projet'!$B$11,Paramètres!$A$1:$I$89,5,0)</f>
        <v>327.53759999999988</v>
      </c>
      <c r="BF149" s="14">
        <f t="shared" si="145"/>
        <v>76.919566502794808</v>
      </c>
      <c r="BG149" s="22">
        <f t="shared" si="115"/>
        <v>704.42956499236743</v>
      </c>
      <c r="BH149" s="60">
        <f t="shared" si="116"/>
        <v>997.76289832570069</v>
      </c>
      <c r="BI149" s="60">
        <f ca="1">AVERAGE(OFFSET($BH$3,0,0,'Données projet'!$E$11+1,1))-AVERAGE(OFFSET($H$3,0,0,'Données projet'!$E$11+1,1))</f>
        <v>529.25712986118265</v>
      </c>
      <c r="BJ149" s="60">
        <f t="shared" si="146"/>
        <v>278.21741231699929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>
        <f>EXP(-LN(2)/35)*BP148+(1-EXP(-LN(2)/35))/(LN(2)/35)*BL149*BM149*VLOOKUP('Données projet'!$B$11,Paramètres!$A$1:$I$89,3,0)*0.475*44/12</f>
        <v>0</v>
      </c>
      <c r="BQ149" s="23">
        <f>EXP(-LN(2)/25)*BQ148+(1-EXP(-LN(2)/25))/(LN(2)/25)*Calculateur!BL149*Calculateur!BN149*VLOOKUP('Données projet'!$B$11,Paramètres!$A$1:$I$89,3,0)*0.475*44/12</f>
        <v>0</v>
      </c>
      <c r="BR149" s="23">
        <f>EXP(-LN(2)/2)*BR148+(1-EXP(-LN(2)/2))/(LN(2)/2)*BL149*BO149*VLOOKUP('Données projet'!$B$11,Paramètres!$A$1:$I$89,3,0)*0.475*44/12</f>
        <v>0</v>
      </c>
      <c r="BS149" s="24">
        <f t="shared" si="117"/>
        <v>0</v>
      </c>
      <c r="BT149" s="77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3.5</v>
      </c>
      <c r="BY149" s="13">
        <f>IF('Données projet'!$A$114&gt;35,BY148+BX149-CG148,IF(A149&lt;'Données projet'!$A$114,$BV$205^A149,IF(A149='Données projet'!$A$114,'Données projet'!$B$114,BY148+BX149-CG148)))</f>
        <v>361.99999999999989</v>
      </c>
      <c r="BZ149" s="14">
        <f>BY149*VLOOKUP('Données projet'!$B$12,Paramètres!$A$1:$I$89,3,0)*VLOOKUP('Données projet'!$B$12,Paramètres!$A$1:$I$89,5,0)</f>
        <v>367.06799999999987</v>
      </c>
      <c r="CA149" s="14">
        <f t="shared" si="147"/>
        <v>85.06719151039799</v>
      </c>
      <c r="CB149" s="22">
        <f t="shared" si="118"/>
        <v>787.46879188060973</v>
      </c>
      <c r="CC149" s="60">
        <f t="shared" si="119"/>
        <v>1080.8021252139431</v>
      </c>
      <c r="CD149" s="60">
        <f ca="1">AVERAGE(OFFSET($CC$3,0,0,'Données projet'!$E$12+1,1))-AVERAGE(OFFSET($H$3,0,0,'Données projet'!$E$12+1,1))</f>
        <v>587.74247372331615</v>
      </c>
      <c r="CE149" s="60">
        <f t="shared" si="148"/>
        <v>306.61893266146666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>
        <f>EXP(-LN(2)/35)*CK148+(1-EXP(-LN(2)/35))/(LN(2)/35)*CG149*CH149*VLOOKUP('Données projet'!$B$12,Paramètres!$A$1:$I$89,3,0)*0.475*44/12</f>
        <v>0</v>
      </c>
      <c r="CL149" s="23">
        <f>EXP(-LN(2)/25)*CL148+(1-EXP(-LN(2)/25))/(LN(2)/25)*Calculateur!CG149*Calculateur!CI149*VLOOKUP('Données projet'!$B$12,Paramètres!$A$1:$I$89,3,0)*0.475*44/12</f>
        <v>0</v>
      </c>
      <c r="CM149" s="23">
        <f>EXP(-LN(2)/2)*CM148+(1-EXP(-LN(2)/2))/(LN(2)/2)*CG149*CJ149*VLOOKUP('Données projet'!$B$12,Paramètres!$A$1:$I$89,3,0)*0.475*44/12</f>
        <v>0</v>
      </c>
      <c r="CN149" s="24">
        <f t="shared" si="120"/>
        <v>0</v>
      </c>
      <c r="CO149" s="77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3.5</v>
      </c>
      <c r="CT149" s="13">
        <f>IF('Données projet'!$A$140&gt;35,CT148+CS149-DB148,IF(A149&lt;'Données projet'!$A$140,$CQ$205^A149,IF(A149='Données projet'!$A$140,'Données projet'!$B$140,CT148+CS149-DB148)))</f>
        <v>361.99999999999989</v>
      </c>
      <c r="CU149" s="18">
        <f>CT149*VLOOKUP('Données projet'!$B$13,Paramètres!$A$1:$I$89,3,0)*VLOOKUP('Données projet'!$B$13,Paramètres!$A$1:$I$89,5,0)</f>
        <v>389.65679999999986</v>
      </c>
      <c r="CV149" s="14">
        <f t="shared" si="149"/>
        <v>89.676553627504703</v>
      </c>
      <c r="CW149" s="22">
        <f t="shared" si="121"/>
        <v>834.8389242345703</v>
      </c>
      <c r="CX149" s="60">
        <f t="shared" si="122"/>
        <v>1128.1722575679037</v>
      </c>
      <c r="CY149" s="60">
        <f ca="1">AVERAGE(OFFSET($CX$3,0,0,'Données projet'!$E$13+1,1))-AVERAGE(OFFSET($H$3,0,0,'Données projet'!$E$13+1,1))</f>
        <v>621.10465023992288</v>
      </c>
      <c r="CZ149" s="60">
        <f t="shared" si="150"/>
        <v>322.81767004794284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>
        <f>EXP(-LN(2)/35)*DF148+(1-EXP(-LN(2)/35))/(LN(2)/35)*DB149*DC149*VLOOKUP('Données projet'!$B$13,Paramètres!$A$1:$I$89,3,0)*0.475*44/12</f>
        <v>0</v>
      </c>
      <c r="DG149" s="23">
        <f>EXP(-LN(2)/25)*DG148+(1-EXP(-LN(2)/25))/(LN(2)/25)*Calculateur!DB149*Calculateur!DD149*VLOOKUP('Données projet'!$B$13,Paramètres!$A$1:$I$89,3,0)*0.475*44/12</f>
        <v>0</v>
      </c>
      <c r="DH149" s="23">
        <f>EXP(-LN(2)/2)*DH148+(1-EXP(-LN(2)/2))/(LN(2)/2)*DB149*DE149*VLOOKUP('Données projet'!$B$13,Paramètres!$A$1:$I$89,3,0)*0.475*44/12</f>
        <v>0</v>
      </c>
      <c r="DI149" s="24">
        <f t="shared" si="123"/>
        <v>0</v>
      </c>
      <c r="DJ149" s="77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3.5</v>
      </c>
      <c r="DO149" s="13">
        <f>IF('Données projet'!$A$166&gt;35,DO148+DN149-DW148,IF(A149&lt;'Données projet'!$A$166,$DL$205^A149,IF(A149='Données projet'!$A$166,'Données projet'!$B$166,DO148+DN149-DW148)))</f>
        <v>361.99999999999989</v>
      </c>
      <c r="DP149" s="18">
        <f>DO149*VLOOKUP('Données projet'!$B$14,Paramètres!$A$1:$I$89,3,0)*VLOOKUP('Données projet'!$B$14,Paramètres!$A$1:$I$89,5,0)</f>
        <v>350.12639999999993</v>
      </c>
      <c r="DQ149" s="14">
        <f t="shared" si="151"/>
        <v>81.588537763807025</v>
      </c>
      <c r="DR149" s="22">
        <f t="shared" si="124"/>
        <v>751.90351660529711</v>
      </c>
      <c r="DS149" s="60">
        <f t="shared" si="125"/>
        <v>1045.2368499386305</v>
      </c>
      <c r="DT149" s="60">
        <f ca="1">AVERAGE(OFFSET($DS$3,0,0,'Données projet'!$E$14+1,1))-AVERAGE(OFFSET($H$3,0,0,'Données projet'!$E$14+1,1))</f>
        <v>562.69380557620775</v>
      </c>
      <c r="DU149" s="60">
        <f t="shared" si="152"/>
        <v>294.45557293177131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>
        <f>EXP(-LN(2)/35)*EA148+(1-EXP(-LN(2)/35))/(LN(2)/35)*DW149*DX149*VLOOKUP('Données projet'!$B$14,Paramètres!$A$1:$I$89,3,0)*0.475*44/12</f>
        <v>0</v>
      </c>
      <c r="EB149" s="23">
        <f>EXP(-LN(2)/25)*EB148+(1-EXP(-LN(2)/25))/(LN(2)/25)*Calculateur!DW149*Calculateur!DY149*VLOOKUP('Données projet'!$B$14,Paramètres!$A$1:$I$89,3,0)*0.475*44/12</f>
        <v>0</v>
      </c>
      <c r="EC149" s="23">
        <f>EXP(-LN(2)/2)*EC148+(1-EXP(-LN(2)/2))/(LN(2)/2)*DW149*DZ149*VLOOKUP('Données projet'!$B$14,Paramètres!$A$1:$I$89,3,0)*0.475*44/12</f>
        <v>0</v>
      </c>
      <c r="ED149" s="24">
        <f t="shared" si="126"/>
        <v>0</v>
      </c>
      <c r="EE149" s="77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1.1368683772161603E-13</v>
      </c>
      <c r="EK149" s="18">
        <f>EJ149*VLOOKUP('Données projet'!$B$15,Paramètres!$A$1:$I$89,3,0)*VLOOKUP('Données projet'!$B$15,Paramètres!$A$1:$I$89,5,0)</f>
        <v>8.8675733422860506E-14</v>
      </c>
      <c r="EL149" s="14">
        <f t="shared" si="153"/>
        <v>1.3509285393066301E-12</v>
      </c>
      <c r="EM149" s="22">
        <f t="shared" si="127"/>
        <v>2.5073107750038623E-12</v>
      </c>
      <c r="EN149" s="60">
        <f t="shared" si="128"/>
        <v>293.33333333333582</v>
      </c>
      <c r="EO149" s="60">
        <f ca="1">AVERAGE(OFFSET($EN$3,0,0,'Données projet'!$E$15+1,1))-AVERAGE(OFFSET($H$3,0,0,'Données projet'!$E$15+1,1))</f>
        <v>292.57482726862594</v>
      </c>
      <c r="EP149" s="60">
        <f t="shared" si="154"/>
        <v>283.48738729114024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>
        <f>EXP(-LN(2)/35)*EV148+(1-EXP(-LN(2)/35))/(LN(2)/35)*ER149*ES149*VLOOKUP('Données projet'!$B$15,Paramètres!$A$1:$I$89,3,0)*0.475*44/12</f>
        <v>0</v>
      </c>
      <c r="EW149" s="23">
        <f>EXP(-LN(2)/25)*EW148+(1-EXP(-LN(2)/25))/(LN(2)/25)*Calculateur!ER149*Calculateur!ET149*VLOOKUP('Données projet'!$B$15,Paramètres!$A$1:$I$89,3,0)*0.475*44/12</f>
        <v>0</v>
      </c>
      <c r="EX149" s="23">
        <f>EXP(-LN(2)/2)*EX148+(1-EXP(-LN(2)/2))/(LN(2)/2)*ER149*EU149*VLOOKUP('Données projet'!$B$15,Paramètres!$A$1:$I$89,3,0)*0.475*44/12</f>
        <v>0</v>
      </c>
      <c r="EY149" s="24">
        <f t="shared" si="129"/>
        <v>0</v>
      </c>
      <c r="EZ149" s="77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0" t="e">
        <f t="shared" si="131"/>
        <v>#N/A</v>
      </c>
      <c r="FJ149" s="60" t="e">
        <f ca="1">AVERAGE(OFFSET($FI$3,0,0,'Données projet'!$E$16+1,1))-AVERAGE(OFFSET($H$3,0,0,'Données projet'!$E$16+1,1))</f>
        <v>#N/A</v>
      </c>
      <c r="FK149" s="60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77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0" t="e">
        <f t="shared" si="134"/>
        <v>#N/A</v>
      </c>
      <c r="GE149" s="60" t="e">
        <f ca="1">AVERAGE(OFFSET($GD$3,0,0,'Données projet'!$E$17+1,1))-AVERAGE(OFFSET($H$3,0,0,'Données projet'!$E$17+1,1))</f>
        <v>#N/A</v>
      </c>
      <c r="GF149" s="60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77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0" t="e">
        <f t="shared" si="137"/>
        <v>#N/A</v>
      </c>
      <c r="GZ149" s="60" t="e">
        <f ca="1">AVERAGE(OFFSET($GY$3,0,0,'Données projet'!$E$18+1,1))-AVERAGE(OFFSET($H$3,0,0,'Données projet'!$E$18+1,1))</f>
        <v>#N/A</v>
      </c>
      <c r="HA149" s="60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25">
      <c r="A150" s="11">
        <f t="shared" si="139"/>
        <v>147</v>
      </c>
      <c r="B150" s="74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2">
        <f t="shared" si="140"/>
        <v>0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0</v>
      </c>
      <c r="H150" s="67">
        <f t="shared" si="110"/>
        <v>256.66666666666669</v>
      </c>
      <c r="I150" s="7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1.1368683772161603E-13</v>
      </c>
      <c r="O150" s="14">
        <f>N150*VLOOKUP('Données projet'!$B$9,Paramètres!$A$1:$I$89,3,0)*VLOOKUP('Données projet'!$B$9,Paramètres!$A$1:$I$89,5,0)</f>
        <v>1.0818439477588981E-13</v>
      </c>
      <c r="P150" s="14">
        <f t="shared" si="141"/>
        <v>1.6104228458716316E-12</v>
      </c>
      <c r="Q150" s="22">
        <f t="shared" si="108"/>
        <v>2.9932409441277661E-12</v>
      </c>
      <c r="R150" s="60">
        <f t="shared" si="109"/>
        <v>293.33333333333633</v>
      </c>
      <c r="S150" s="60">
        <f ca="1">AVERAGE(OFFSET($R$3,0,0,'Données projet'!$E$9+1,1))-AVERAGE(OFFSET($H$3,0,0,'Données projet'!$E$9+1,1))</f>
        <v>403.49781966317852</v>
      </c>
      <c r="T150" s="60">
        <f t="shared" si="142"/>
        <v>326.06674572505409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0</v>
      </c>
      <c r="AA150" s="23">
        <f>EXP(-LN(2)/25)*AA149+(1-EXP(-LN(2)/25))/(LN(2)/25)*Calculateur!V150*Calculateur!X150*VLOOKUP('Données projet'!$B$9,Paramètres!$A$1:$I$89,3,0)*0.475*44/12</f>
        <v>0</v>
      </c>
      <c r="AB150" s="23">
        <f>EXP(-LN(2)/2)*AB149+(1-EXP(-LN(2)/2))/(LN(2)/2)*V150*Y150*VLOOKUP('Données projet'!$B$9,Paramètres!$A$1:$I$89,3,0)*0.475*44/12</f>
        <v>0</v>
      </c>
      <c r="AC150" s="24">
        <f t="shared" si="111"/>
        <v>0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-1.1368683772161603E-13</v>
      </c>
      <c r="AJ150" s="14">
        <f>AI150*VLOOKUP('Données projet'!$B$10,Paramètres!$A$1:$I$89,3,0)*VLOOKUP('Données projet'!$B$10,Paramètres!$A$1:$I$89,5,0)</f>
        <v>-9.9316821433603781E-14</v>
      </c>
      <c r="AK150" s="14" t="e">
        <f t="shared" si="143"/>
        <v>#NUM!</v>
      </c>
      <c r="AL150" s="22" t="e">
        <f t="shared" si="112"/>
        <v>#NUM!</v>
      </c>
      <c r="AM150" s="60" t="e">
        <f t="shared" si="113"/>
        <v>#NUM!</v>
      </c>
      <c r="AN150" s="60">
        <f ca="1">AVERAGE(OFFSET($AM$3,0,0,'Données projet'!$E$10+1,1))-AVERAGE(OFFSET($H$3,0,0,'Données projet'!$E$10+1,1))</f>
        <v>274.66236526869056</v>
      </c>
      <c r="AO150" s="60">
        <f t="shared" si="144"/>
        <v>256.90876395053073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>
        <f>EXP(-LN(2)/35)*AU149+(1-EXP(-LN(2)/35))/(LN(2)/35)*AQ150*AR150*VLOOKUP('Données projet'!$B$10,Paramètres!$A$1:$I$89,3,0)*0.475*44/12</f>
        <v>0</v>
      </c>
      <c r="AV150" s="23">
        <f>EXP(-LN(2)/25)*AV149+(1-EXP(-LN(2)/25))/(LN(2)/25)*Calculateur!AQ150*Calculateur!AS150*VLOOKUP('Données projet'!$B$10,Paramètres!$A$1:$I$89,3,0)*0.475*44/12</f>
        <v>0</v>
      </c>
      <c r="AW150" s="23">
        <f>EXP(-LN(2)/2)*AW149+(1-EXP(-LN(2)/2))/(LN(2)/2)*AQ150*AT150*VLOOKUP('Données projet'!$B$10,Paramètres!$A$1:$I$89,3,0)*0.475*44/12</f>
        <v>0</v>
      </c>
      <c r="AX150" s="23">
        <f t="shared" si="114"/>
        <v>0</v>
      </c>
      <c r="AY150" s="76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3.5</v>
      </c>
      <c r="BD150" s="13">
        <f>IF('Données projet'!$A$88&gt;35,BD149+BC150-BL149,IF(A150&lt;'Données projet'!$A$88,$BA$205^A150,IF(A150='Données projet'!$A$88,'Données projet'!$B$88,BD149+BC150-BL149)))</f>
        <v>365.49999999999989</v>
      </c>
      <c r="BE150" s="14">
        <f>BD150*VLOOKUP('Données projet'!$B$11,Paramètres!$A$1:$I$89,3,0)*VLOOKUP('Données projet'!$B$11,Paramètres!$A$1:$I$89,5,0)</f>
        <v>330.70439999999991</v>
      </c>
      <c r="BF150" s="14">
        <f t="shared" si="145"/>
        <v>77.576329135205029</v>
      </c>
      <c r="BG150" s="22">
        <f t="shared" si="115"/>
        <v>711.08893657714862</v>
      </c>
      <c r="BH150" s="60">
        <f t="shared" si="116"/>
        <v>1004.4222699104819</v>
      </c>
      <c r="BI150" s="60">
        <f ca="1">AVERAGE(OFFSET($BH$3,0,0,'Données projet'!$E$11+1,1))-AVERAGE(OFFSET($H$3,0,0,'Données projet'!$E$11+1,1))</f>
        <v>529.25712986118265</v>
      </c>
      <c r="BJ150" s="60">
        <f t="shared" si="146"/>
        <v>278.21741231699929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>
        <f>EXP(-LN(2)/35)*BP149+(1-EXP(-LN(2)/35))/(LN(2)/35)*BL150*BM150*VLOOKUP('Données projet'!$B$11,Paramètres!$A$1:$I$89,3,0)*0.475*44/12</f>
        <v>0</v>
      </c>
      <c r="BQ150" s="23">
        <f>EXP(-LN(2)/25)*BQ149+(1-EXP(-LN(2)/25))/(LN(2)/25)*Calculateur!BL150*Calculateur!BN150*VLOOKUP('Données projet'!$B$11,Paramètres!$A$1:$I$89,3,0)*0.475*44/12</f>
        <v>0</v>
      </c>
      <c r="BR150" s="23">
        <f>EXP(-LN(2)/2)*BR149+(1-EXP(-LN(2)/2))/(LN(2)/2)*BL150*BO150*VLOOKUP('Données projet'!$B$11,Paramètres!$A$1:$I$89,3,0)*0.475*44/12</f>
        <v>0</v>
      </c>
      <c r="BS150" s="24">
        <f t="shared" si="117"/>
        <v>0</v>
      </c>
      <c r="BT150" s="77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3.5</v>
      </c>
      <c r="BY150" s="13">
        <f>IF('Données projet'!$A$114&gt;35,BY149+BX150-CG149,IF(A150&lt;'Données projet'!$A$114,$BV$205^A150,IF(A150='Données projet'!$A$114,'Données projet'!$B$114,BY149+BX150-CG149)))</f>
        <v>365.49999999999989</v>
      </c>
      <c r="BZ150" s="14">
        <f>BY150*VLOOKUP('Données projet'!$B$12,Paramètres!$A$1:$I$89,3,0)*VLOOKUP('Données projet'!$B$12,Paramètres!$A$1:$I$89,5,0)</f>
        <v>370.6169999999999</v>
      </c>
      <c r="CA150" s="14">
        <f t="shared" si="147"/>
        <v>85.793521040948463</v>
      </c>
      <c r="CB150" s="22">
        <f t="shared" si="118"/>
        <v>794.91499081298491</v>
      </c>
      <c r="CC150" s="60">
        <f t="shared" si="119"/>
        <v>1088.2483241463183</v>
      </c>
      <c r="CD150" s="60">
        <f ca="1">AVERAGE(OFFSET($CC$3,0,0,'Données projet'!$E$12+1,1))-AVERAGE(OFFSET($H$3,0,0,'Données projet'!$E$12+1,1))</f>
        <v>587.74247372331615</v>
      </c>
      <c r="CE150" s="60">
        <f t="shared" si="148"/>
        <v>306.61893266146666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>
        <f>EXP(-LN(2)/35)*CK149+(1-EXP(-LN(2)/35))/(LN(2)/35)*CG150*CH150*VLOOKUP('Données projet'!$B$12,Paramètres!$A$1:$I$89,3,0)*0.475*44/12</f>
        <v>0</v>
      </c>
      <c r="CL150" s="23">
        <f>EXP(-LN(2)/25)*CL149+(1-EXP(-LN(2)/25))/(LN(2)/25)*Calculateur!CG150*Calculateur!CI150*VLOOKUP('Données projet'!$B$12,Paramètres!$A$1:$I$89,3,0)*0.475*44/12</f>
        <v>0</v>
      </c>
      <c r="CM150" s="23">
        <f>EXP(-LN(2)/2)*CM149+(1-EXP(-LN(2)/2))/(LN(2)/2)*CG150*CJ150*VLOOKUP('Données projet'!$B$12,Paramètres!$A$1:$I$89,3,0)*0.475*44/12</f>
        <v>0</v>
      </c>
      <c r="CN150" s="24">
        <f t="shared" si="120"/>
        <v>0</v>
      </c>
      <c r="CO150" s="77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3.5</v>
      </c>
      <c r="CT150" s="13">
        <f>IF('Données projet'!$A$140&gt;35,CT149+CS150-DB149,IF(A150&lt;'Données projet'!$A$140,$CQ$205^A150,IF(A150='Données projet'!$A$140,'Données projet'!$B$140,CT149+CS150-DB149)))</f>
        <v>365.49999999999989</v>
      </c>
      <c r="CU150" s="18">
        <f>CT150*VLOOKUP('Données projet'!$B$13,Paramètres!$A$1:$I$89,3,0)*VLOOKUP('Données projet'!$B$13,Paramètres!$A$1:$I$89,5,0)</f>
        <v>393.42419999999987</v>
      </c>
      <c r="CV150" s="14">
        <f t="shared" si="149"/>
        <v>90.442239292461451</v>
      </c>
      <c r="CW150" s="22">
        <f t="shared" si="121"/>
        <v>842.73404843437027</v>
      </c>
      <c r="CX150" s="60">
        <f t="shared" si="122"/>
        <v>1136.0673817677036</v>
      </c>
      <c r="CY150" s="60">
        <f ca="1">AVERAGE(OFFSET($CX$3,0,0,'Données projet'!$E$13+1,1))-AVERAGE(OFFSET($H$3,0,0,'Données projet'!$E$13+1,1))</f>
        <v>621.10465023992288</v>
      </c>
      <c r="CZ150" s="60">
        <f t="shared" si="150"/>
        <v>322.81767004794284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>
        <f>EXP(-LN(2)/35)*DF149+(1-EXP(-LN(2)/35))/(LN(2)/35)*DB150*DC150*VLOOKUP('Données projet'!$B$13,Paramètres!$A$1:$I$89,3,0)*0.475*44/12</f>
        <v>0</v>
      </c>
      <c r="DG150" s="23">
        <f>EXP(-LN(2)/25)*DG149+(1-EXP(-LN(2)/25))/(LN(2)/25)*Calculateur!DB150*Calculateur!DD150*VLOOKUP('Données projet'!$B$13,Paramètres!$A$1:$I$89,3,0)*0.475*44/12</f>
        <v>0</v>
      </c>
      <c r="DH150" s="23">
        <f>EXP(-LN(2)/2)*DH149+(1-EXP(-LN(2)/2))/(LN(2)/2)*DB150*DE150*VLOOKUP('Données projet'!$B$13,Paramètres!$A$1:$I$89,3,0)*0.475*44/12</f>
        <v>0</v>
      </c>
      <c r="DI150" s="24">
        <f t="shared" si="123"/>
        <v>0</v>
      </c>
      <c r="DJ150" s="77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3.5</v>
      </c>
      <c r="DO150" s="13">
        <f>IF('Données projet'!$A$166&gt;35,DO149+DN150-DW149,IF(A150&lt;'Données projet'!$A$166,$DL$205^A150,IF(A150='Données projet'!$A$166,'Données projet'!$B$166,DO149+DN150-DW149)))</f>
        <v>365.49999999999989</v>
      </c>
      <c r="DP150" s="18">
        <f>DO150*VLOOKUP('Données projet'!$B$14,Paramètres!$A$1:$I$89,3,0)*VLOOKUP('Données projet'!$B$14,Paramètres!$A$1:$I$89,5,0)</f>
        <v>353.51159999999987</v>
      </c>
      <c r="DQ150" s="14">
        <f t="shared" si="151"/>
        <v>82.285165491607756</v>
      </c>
      <c r="DR150" s="22">
        <f t="shared" si="124"/>
        <v>759.01269989788318</v>
      </c>
      <c r="DS150" s="60">
        <f t="shared" si="125"/>
        <v>1052.3460332312166</v>
      </c>
      <c r="DT150" s="60">
        <f ca="1">AVERAGE(OFFSET($DS$3,0,0,'Données projet'!$E$14+1,1))-AVERAGE(OFFSET($H$3,0,0,'Données projet'!$E$14+1,1))</f>
        <v>562.69380557620775</v>
      </c>
      <c r="DU150" s="60">
        <f t="shared" si="152"/>
        <v>294.45557293177131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>
        <f>EXP(-LN(2)/35)*EA149+(1-EXP(-LN(2)/35))/(LN(2)/35)*DW150*DX150*VLOOKUP('Données projet'!$B$14,Paramètres!$A$1:$I$89,3,0)*0.475*44/12</f>
        <v>0</v>
      </c>
      <c r="EB150" s="23">
        <f>EXP(-LN(2)/25)*EB149+(1-EXP(-LN(2)/25))/(LN(2)/25)*Calculateur!DW150*Calculateur!DY150*VLOOKUP('Données projet'!$B$14,Paramètres!$A$1:$I$89,3,0)*0.475*44/12</f>
        <v>0</v>
      </c>
      <c r="EC150" s="23">
        <f>EXP(-LN(2)/2)*EC149+(1-EXP(-LN(2)/2))/(LN(2)/2)*DW150*DZ150*VLOOKUP('Données projet'!$B$14,Paramètres!$A$1:$I$89,3,0)*0.475*44/12</f>
        <v>0</v>
      </c>
      <c r="ED150" s="24">
        <f t="shared" si="126"/>
        <v>0</v>
      </c>
      <c r="EE150" s="77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1.1368683772161603E-13</v>
      </c>
      <c r="EK150" s="18">
        <f>EJ150*VLOOKUP('Données projet'!$B$15,Paramètres!$A$1:$I$89,3,0)*VLOOKUP('Données projet'!$B$15,Paramètres!$A$1:$I$89,5,0)</f>
        <v>8.8675733422860506E-14</v>
      </c>
      <c r="EL150" s="14">
        <f t="shared" si="153"/>
        <v>1.3509285393066301E-12</v>
      </c>
      <c r="EM150" s="22">
        <f t="shared" si="127"/>
        <v>2.5073107750038623E-12</v>
      </c>
      <c r="EN150" s="60">
        <f t="shared" si="128"/>
        <v>293.33333333333582</v>
      </c>
      <c r="EO150" s="60">
        <f ca="1">AVERAGE(OFFSET($EN$3,0,0,'Données projet'!$E$15+1,1))-AVERAGE(OFFSET($H$3,0,0,'Données projet'!$E$15+1,1))</f>
        <v>292.57482726862594</v>
      </c>
      <c r="EP150" s="60">
        <f t="shared" si="154"/>
        <v>283.48738729114024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>
        <f>EXP(-LN(2)/35)*EV149+(1-EXP(-LN(2)/35))/(LN(2)/35)*ER150*ES150*VLOOKUP('Données projet'!$B$15,Paramètres!$A$1:$I$89,3,0)*0.475*44/12</f>
        <v>0</v>
      </c>
      <c r="EW150" s="23">
        <f>EXP(-LN(2)/25)*EW149+(1-EXP(-LN(2)/25))/(LN(2)/25)*Calculateur!ER150*Calculateur!ET150*VLOOKUP('Données projet'!$B$15,Paramètres!$A$1:$I$89,3,0)*0.475*44/12</f>
        <v>0</v>
      </c>
      <c r="EX150" s="23">
        <f>EXP(-LN(2)/2)*EX149+(1-EXP(-LN(2)/2))/(LN(2)/2)*ER150*EU150*VLOOKUP('Données projet'!$B$15,Paramètres!$A$1:$I$89,3,0)*0.475*44/12</f>
        <v>0</v>
      </c>
      <c r="EY150" s="24">
        <f t="shared" si="129"/>
        <v>0</v>
      </c>
      <c r="EZ150" s="77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0" t="e">
        <f t="shared" si="131"/>
        <v>#N/A</v>
      </c>
      <c r="FJ150" s="60" t="e">
        <f ca="1">AVERAGE(OFFSET($FI$3,0,0,'Données projet'!$E$16+1,1))-AVERAGE(OFFSET($H$3,0,0,'Données projet'!$E$16+1,1))</f>
        <v>#N/A</v>
      </c>
      <c r="FK150" s="60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77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0" t="e">
        <f t="shared" si="134"/>
        <v>#N/A</v>
      </c>
      <c r="GE150" s="60" t="e">
        <f ca="1">AVERAGE(OFFSET($GD$3,0,0,'Données projet'!$E$17+1,1))-AVERAGE(OFFSET($H$3,0,0,'Données projet'!$E$17+1,1))</f>
        <v>#N/A</v>
      </c>
      <c r="GF150" s="60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77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0" t="e">
        <f t="shared" si="137"/>
        <v>#N/A</v>
      </c>
      <c r="GZ150" s="60" t="e">
        <f ca="1">AVERAGE(OFFSET($GY$3,0,0,'Données projet'!$E$18+1,1))-AVERAGE(OFFSET($H$3,0,0,'Données projet'!$E$18+1,1))</f>
        <v>#N/A</v>
      </c>
      <c r="HA150" s="60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25">
      <c r="A151" s="11">
        <f t="shared" si="139"/>
        <v>148</v>
      </c>
      <c r="B151" s="74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2">
        <f t="shared" si="140"/>
        <v>0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0</v>
      </c>
      <c r="H151" s="67">
        <f t="shared" si="110"/>
        <v>256.66666666666669</v>
      </c>
      <c r="I151" s="7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1.1368683772161603E-13</v>
      </c>
      <c r="O151" s="14">
        <f>N151*VLOOKUP('Données projet'!$B$9,Paramètres!$A$1:$I$89,3,0)*VLOOKUP('Données projet'!$B$9,Paramètres!$A$1:$I$89,5,0)</f>
        <v>1.0818439477588981E-13</v>
      </c>
      <c r="P151" s="14">
        <f t="shared" si="141"/>
        <v>1.6104228458716316E-12</v>
      </c>
      <c r="Q151" s="22">
        <f t="shared" si="108"/>
        <v>2.9932409441277661E-12</v>
      </c>
      <c r="R151" s="60">
        <f t="shared" si="109"/>
        <v>293.33333333333633</v>
      </c>
      <c r="S151" s="60">
        <f ca="1">AVERAGE(OFFSET($R$3,0,0,'Données projet'!$E$9+1,1))-AVERAGE(OFFSET($H$3,0,0,'Données projet'!$E$9+1,1))</f>
        <v>403.49781966317852</v>
      </c>
      <c r="T151" s="60">
        <f t="shared" si="142"/>
        <v>326.06674572505409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0</v>
      </c>
      <c r="AA151" s="23">
        <f>EXP(-LN(2)/25)*AA150+(1-EXP(-LN(2)/25))/(LN(2)/25)*Calculateur!V151*Calculateur!X151*VLOOKUP('Données projet'!$B$9,Paramètres!$A$1:$I$89,3,0)*0.475*44/12</f>
        <v>0</v>
      </c>
      <c r="AB151" s="23">
        <f>EXP(-LN(2)/2)*AB150+(1-EXP(-LN(2)/2))/(LN(2)/2)*V151*Y151*VLOOKUP('Données projet'!$B$9,Paramètres!$A$1:$I$89,3,0)*0.475*44/12</f>
        <v>0</v>
      </c>
      <c r="AC151" s="24">
        <f t="shared" si="111"/>
        <v>0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-1.1368683772161603E-13</v>
      </c>
      <c r="AJ151" s="14">
        <f>AI151*VLOOKUP('Données projet'!$B$10,Paramètres!$A$1:$I$89,3,0)*VLOOKUP('Données projet'!$B$10,Paramètres!$A$1:$I$89,5,0)</f>
        <v>-9.9316821433603781E-14</v>
      </c>
      <c r="AK151" s="14" t="e">
        <f t="shared" si="143"/>
        <v>#NUM!</v>
      </c>
      <c r="AL151" s="22" t="e">
        <f t="shared" si="112"/>
        <v>#NUM!</v>
      </c>
      <c r="AM151" s="60" t="e">
        <f t="shared" si="113"/>
        <v>#NUM!</v>
      </c>
      <c r="AN151" s="60">
        <f ca="1">AVERAGE(OFFSET($AM$3,0,0,'Données projet'!$E$10+1,1))-AVERAGE(OFFSET($H$3,0,0,'Données projet'!$E$10+1,1))</f>
        <v>274.66236526869056</v>
      </c>
      <c r="AO151" s="60">
        <f t="shared" si="144"/>
        <v>256.90876395053073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>
        <f>EXP(-LN(2)/35)*AU150+(1-EXP(-LN(2)/35))/(LN(2)/35)*AQ151*AR151*VLOOKUP('Données projet'!$B$10,Paramètres!$A$1:$I$89,3,0)*0.475*44/12</f>
        <v>0</v>
      </c>
      <c r="AV151" s="23">
        <f>EXP(-LN(2)/25)*AV150+(1-EXP(-LN(2)/25))/(LN(2)/25)*Calculateur!AQ151*Calculateur!AS151*VLOOKUP('Données projet'!$B$10,Paramètres!$A$1:$I$89,3,0)*0.475*44/12</f>
        <v>0</v>
      </c>
      <c r="AW151" s="23">
        <f>EXP(-LN(2)/2)*AW150+(1-EXP(-LN(2)/2))/(LN(2)/2)*AQ151*AT151*VLOOKUP('Données projet'!$B$10,Paramètres!$A$1:$I$89,3,0)*0.475*44/12</f>
        <v>0</v>
      </c>
      <c r="AX151" s="23">
        <f t="shared" si="114"/>
        <v>0</v>
      </c>
      <c r="AY151" s="76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3.5</v>
      </c>
      <c r="BD151" s="13">
        <f>IF('Données projet'!$A$88&gt;35,BD150+BC151-BL150,IF(A151&lt;'Données projet'!$A$88,$BA$205^A151,IF(A151='Données projet'!$A$88,'Données projet'!$B$88,BD150+BC151-BL150)))</f>
        <v>368.99999999999989</v>
      </c>
      <c r="BE151" s="14">
        <f>BD151*VLOOKUP('Données projet'!$B$11,Paramètres!$A$1:$I$89,3,0)*VLOOKUP('Données projet'!$B$11,Paramètres!$A$1:$I$89,5,0)</f>
        <v>333.87119999999987</v>
      </c>
      <c r="BF151" s="14">
        <f t="shared" si="145"/>
        <v>78.232360111376309</v>
      </c>
      <c r="BG151" s="22">
        <f t="shared" si="115"/>
        <v>717.74703386064687</v>
      </c>
      <c r="BH151" s="60">
        <f t="shared" si="116"/>
        <v>1011.0803671939802</v>
      </c>
      <c r="BI151" s="60">
        <f ca="1">AVERAGE(OFFSET($BH$3,0,0,'Données projet'!$E$11+1,1))-AVERAGE(OFFSET($H$3,0,0,'Données projet'!$E$11+1,1))</f>
        <v>529.25712986118265</v>
      </c>
      <c r="BJ151" s="60">
        <f t="shared" si="146"/>
        <v>278.21741231699929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>
        <f>EXP(-LN(2)/35)*BP150+(1-EXP(-LN(2)/35))/(LN(2)/35)*BL151*BM151*VLOOKUP('Données projet'!$B$11,Paramètres!$A$1:$I$89,3,0)*0.475*44/12</f>
        <v>0</v>
      </c>
      <c r="BQ151" s="23">
        <f>EXP(-LN(2)/25)*BQ150+(1-EXP(-LN(2)/25))/(LN(2)/25)*Calculateur!BL151*Calculateur!BN151*VLOOKUP('Données projet'!$B$11,Paramètres!$A$1:$I$89,3,0)*0.475*44/12</f>
        <v>0</v>
      </c>
      <c r="BR151" s="23">
        <f>EXP(-LN(2)/2)*BR150+(1-EXP(-LN(2)/2))/(LN(2)/2)*BL151*BO151*VLOOKUP('Données projet'!$B$11,Paramètres!$A$1:$I$89,3,0)*0.475*44/12</f>
        <v>0</v>
      </c>
      <c r="BS151" s="24">
        <f t="shared" si="117"/>
        <v>0</v>
      </c>
      <c r="BT151" s="77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3.5</v>
      </c>
      <c r="BY151" s="13">
        <f>IF('Données projet'!$A$114&gt;35,BY150+BX151-CG150,IF(A151&lt;'Données projet'!$A$114,$BV$205^A151,IF(A151='Données projet'!$A$114,'Données projet'!$B$114,BY150+BX151-CG150)))</f>
        <v>368.99999999999989</v>
      </c>
      <c r="BZ151" s="14">
        <f>BY151*VLOOKUP('Données projet'!$B$12,Paramètres!$A$1:$I$89,3,0)*VLOOKUP('Données projet'!$B$12,Paramètres!$A$1:$I$89,5,0)</f>
        <v>374.16599999999994</v>
      </c>
      <c r="CA151" s="14">
        <f t="shared" si="147"/>
        <v>86.519041415334357</v>
      </c>
      <c r="CB151" s="22">
        <f t="shared" si="118"/>
        <v>802.35978046504044</v>
      </c>
      <c r="CC151" s="60">
        <f t="shared" si="119"/>
        <v>1095.6931137983738</v>
      </c>
      <c r="CD151" s="60">
        <f ca="1">AVERAGE(OFFSET($CC$3,0,0,'Données projet'!$E$12+1,1))-AVERAGE(OFFSET($H$3,0,0,'Données projet'!$E$12+1,1))</f>
        <v>587.74247372331615</v>
      </c>
      <c r="CE151" s="60">
        <f t="shared" si="148"/>
        <v>306.61893266146666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>
        <f>EXP(-LN(2)/35)*CK150+(1-EXP(-LN(2)/35))/(LN(2)/35)*CG151*CH151*VLOOKUP('Données projet'!$B$12,Paramètres!$A$1:$I$89,3,0)*0.475*44/12</f>
        <v>0</v>
      </c>
      <c r="CL151" s="23">
        <f>EXP(-LN(2)/25)*CL150+(1-EXP(-LN(2)/25))/(LN(2)/25)*Calculateur!CG151*Calculateur!CI151*VLOOKUP('Données projet'!$B$12,Paramètres!$A$1:$I$89,3,0)*0.475*44/12</f>
        <v>0</v>
      </c>
      <c r="CM151" s="23">
        <f>EXP(-LN(2)/2)*CM150+(1-EXP(-LN(2)/2))/(LN(2)/2)*CG151*CJ151*VLOOKUP('Données projet'!$B$12,Paramètres!$A$1:$I$89,3,0)*0.475*44/12</f>
        <v>0</v>
      </c>
      <c r="CN151" s="24">
        <f t="shared" si="120"/>
        <v>0</v>
      </c>
      <c r="CO151" s="77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3.5</v>
      </c>
      <c r="CT151" s="13">
        <f>IF('Données projet'!$A$140&gt;35,CT150+CS151-DB150,IF(A151&lt;'Données projet'!$A$140,$CQ$205^A151,IF(A151='Données projet'!$A$140,'Données projet'!$B$140,CT150+CS151-DB150)))</f>
        <v>368.99999999999989</v>
      </c>
      <c r="CU151" s="18">
        <f>CT151*VLOOKUP('Données projet'!$B$13,Paramètres!$A$1:$I$89,3,0)*VLOOKUP('Données projet'!$B$13,Paramètres!$A$1:$I$89,5,0)</f>
        <v>397.19159999999988</v>
      </c>
      <c r="CV151" s="14">
        <f t="shared" si="149"/>
        <v>91.207071957161716</v>
      </c>
      <c r="CW151" s="22">
        <f t="shared" si="121"/>
        <v>850.62768699205628</v>
      </c>
      <c r="CX151" s="60">
        <f t="shared" si="122"/>
        <v>1143.9610203253897</v>
      </c>
      <c r="CY151" s="60">
        <f ca="1">AVERAGE(OFFSET($CX$3,0,0,'Données projet'!$E$13+1,1))-AVERAGE(OFFSET($H$3,0,0,'Données projet'!$E$13+1,1))</f>
        <v>621.10465023992288</v>
      </c>
      <c r="CZ151" s="60">
        <f t="shared" si="150"/>
        <v>322.81767004794284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>
        <f>EXP(-LN(2)/35)*DF150+(1-EXP(-LN(2)/35))/(LN(2)/35)*DB151*DC151*VLOOKUP('Données projet'!$B$13,Paramètres!$A$1:$I$89,3,0)*0.475*44/12</f>
        <v>0</v>
      </c>
      <c r="DG151" s="23">
        <f>EXP(-LN(2)/25)*DG150+(1-EXP(-LN(2)/25))/(LN(2)/25)*Calculateur!DB151*Calculateur!DD151*VLOOKUP('Données projet'!$B$13,Paramètres!$A$1:$I$89,3,0)*0.475*44/12</f>
        <v>0</v>
      </c>
      <c r="DH151" s="23">
        <f>EXP(-LN(2)/2)*DH150+(1-EXP(-LN(2)/2))/(LN(2)/2)*DB151*DE151*VLOOKUP('Données projet'!$B$13,Paramètres!$A$1:$I$89,3,0)*0.475*44/12</f>
        <v>0</v>
      </c>
      <c r="DI151" s="24">
        <f t="shared" si="123"/>
        <v>0</v>
      </c>
      <c r="DJ151" s="77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3.5</v>
      </c>
      <c r="DO151" s="13">
        <f>IF('Données projet'!$A$166&gt;35,DO150+DN151-DW150,IF(A151&lt;'Données projet'!$A$166,$DL$205^A151,IF(A151='Données projet'!$A$166,'Données projet'!$B$166,DO150+DN151-DW150)))</f>
        <v>368.99999999999989</v>
      </c>
      <c r="DP151" s="18">
        <f>DO151*VLOOKUP('Données projet'!$B$14,Paramètres!$A$1:$I$89,3,0)*VLOOKUP('Données projet'!$B$14,Paramètres!$A$1:$I$89,5,0)</f>
        <v>356.89679999999987</v>
      </c>
      <c r="DQ151" s="14">
        <f t="shared" si="151"/>
        <v>82.981017152077499</v>
      </c>
      <c r="DR151" s="22">
        <f t="shared" si="124"/>
        <v>766.12053153986801</v>
      </c>
      <c r="DS151" s="60">
        <f t="shared" si="125"/>
        <v>1059.4538648732014</v>
      </c>
      <c r="DT151" s="60">
        <f ca="1">AVERAGE(OFFSET($DS$3,0,0,'Données projet'!$E$14+1,1))-AVERAGE(OFFSET($H$3,0,0,'Données projet'!$E$14+1,1))</f>
        <v>562.69380557620775</v>
      </c>
      <c r="DU151" s="60">
        <f t="shared" si="152"/>
        <v>294.45557293177131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>
        <f>EXP(-LN(2)/35)*EA150+(1-EXP(-LN(2)/35))/(LN(2)/35)*DW151*DX151*VLOOKUP('Données projet'!$B$14,Paramètres!$A$1:$I$89,3,0)*0.475*44/12</f>
        <v>0</v>
      </c>
      <c r="EB151" s="23">
        <f>EXP(-LN(2)/25)*EB150+(1-EXP(-LN(2)/25))/(LN(2)/25)*Calculateur!DW151*Calculateur!DY151*VLOOKUP('Données projet'!$B$14,Paramètres!$A$1:$I$89,3,0)*0.475*44/12</f>
        <v>0</v>
      </c>
      <c r="EC151" s="23">
        <f>EXP(-LN(2)/2)*EC150+(1-EXP(-LN(2)/2))/(LN(2)/2)*DW151*DZ151*VLOOKUP('Données projet'!$B$14,Paramètres!$A$1:$I$89,3,0)*0.475*44/12</f>
        <v>0</v>
      </c>
      <c r="ED151" s="24">
        <f t="shared" si="126"/>
        <v>0</v>
      </c>
      <c r="EE151" s="77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1.1368683772161603E-13</v>
      </c>
      <c r="EK151" s="18">
        <f>EJ151*VLOOKUP('Données projet'!$B$15,Paramètres!$A$1:$I$89,3,0)*VLOOKUP('Données projet'!$B$15,Paramètres!$A$1:$I$89,5,0)</f>
        <v>8.8675733422860506E-14</v>
      </c>
      <c r="EL151" s="14">
        <f t="shared" si="153"/>
        <v>1.3509285393066301E-12</v>
      </c>
      <c r="EM151" s="22">
        <f t="shared" si="127"/>
        <v>2.5073107750038623E-12</v>
      </c>
      <c r="EN151" s="60">
        <f t="shared" si="128"/>
        <v>293.33333333333582</v>
      </c>
      <c r="EO151" s="60">
        <f ca="1">AVERAGE(OFFSET($EN$3,0,0,'Données projet'!$E$15+1,1))-AVERAGE(OFFSET($H$3,0,0,'Données projet'!$E$15+1,1))</f>
        <v>292.57482726862594</v>
      </c>
      <c r="EP151" s="60">
        <f t="shared" si="154"/>
        <v>283.48738729114024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>
        <f>EXP(-LN(2)/35)*EV150+(1-EXP(-LN(2)/35))/(LN(2)/35)*ER151*ES151*VLOOKUP('Données projet'!$B$15,Paramètres!$A$1:$I$89,3,0)*0.475*44/12</f>
        <v>0</v>
      </c>
      <c r="EW151" s="23">
        <f>EXP(-LN(2)/25)*EW150+(1-EXP(-LN(2)/25))/(LN(2)/25)*Calculateur!ER151*Calculateur!ET151*VLOOKUP('Données projet'!$B$15,Paramètres!$A$1:$I$89,3,0)*0.475*44/12</f>
        <v>0</v>
      </c>
      <c r="EX151" s="23">
        <f>EXP(-LN(2)/2)*EX150+(1-EXP(-LN(2)/2))/(LN(2)/2)*ER151*EU151*VLOOKUP('Données projet'!$B$15,Paramètres!$A$1:$I$89,3,0)*0.475*44/12</f>
        <v>0</v>
      </c>
      <c r="EY151" s="24">
        <f t="shared" si="129"/>
        <v>0</v>
      </c>
      <c r="EZ151" s="77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0" t="e">
        <f t="shared" si="131"/>
        <v>#N/A</v>
      </c>
      <c r="FJ151" s="60" t="e">
        <f ca="1">AVERAGE(OFFSET($FI$3,0,0,'Données projet'!$E$16+1,1))-AVERAGE(OFFSET($H$3,0,0,'Données projet'!$E$16+1,1))</f>
        <v>#N/A</v>
      </c>
      <c r="FK151" s="60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77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0" t="e">
        <f t="shared" si="134"/>
        <v>#N/A</v>
      </c>
      <c r="GE151" s="60" t="e">
        <f ca="1">AVERAGE(OFFSET($GD$3,0,0,'Données projet'!$E$17+1,1))-AVERAGE(OFFSET($H$3,0,0,'Données projet'!$E$17+1,1))</f>
        <v>#N/A</v>
      </c>
      <c r="GF151" s="60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77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0" t="e">
        <f t="shared" si="137"/>
        <v>#N/A</v>
      </c>
      <c r="GZ151" s="60" t="e">
        <f ca="1">AVERAGE(OFFSET($GY$3,0,0,'Données projet'!$E$18+1,1))-AVERAGE(OFFSET($H$3,0,0,'Données projet'!$E$18+1,1))</f>
        <v>#N/A</v>
      </c>
      <c r="HA151" s="60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25">
      <c r="A152" s="11">
        <f t="shared" si="139"/>
        <v>149</v>
      </c>
      <c r="B152" s="74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2">
        <f t="shared" si="140"/>
        <v>0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0</v>
      </c>
      <c r="H152" s="67">
        <f t="shared" si="110"/>
        <v>256.66666666666669</v>
      </c>
      <c r="I152" s="7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1.1368683772161603E-13</v>
      </c>
      <c r="O152" s="14">
        <f>N152*VLOOKUP('Données projet'!$B$9,Paramètres!$A$1:$I$89,3,0)*VLOOKUP('Données projet'!$B$9,Paramètres!$A$1:$I$89,5,0)</f>
        <v>1.0818439477588981E-13</v>
      </c>
      <c r="P152" s="14">
        <f t="shared" si="141"/>
        <v>1.6104228458716316E-12</v>
      </c>
      <c r="Q152" s="22">
        <f t="shared" si="108"/>
        <v>2.9932409441277661E-12</v>
      </c>
      <c r="R152" s="60">
        <f t="shared" si="109"/>
        <v>293.33333333333633</v>
      </c>
      <c r="S152" s="60">
        <f ca="1">AVERAGE(OFFSET($R$3,0,0,'Données projet'!$E$9+1,1))-AVERAGE(OFFSET($H$3,0,0,'Données projet'!$E$9+1,1))</f>
        <v>403.49781966317852</v>
      </c>
      <c r="T152" s="60">
        <f t="shared" si="142"/>
        <v>326.06674572505409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0</v>
      </c>
      <c r="AA152" s="23">
        <f>EXP(-LN(2)/25)*AA151+(1-EXP(-LN(2)/25))/(LN(2)/25)*Calculateur!V152*Calculateur!X152*VLOOKUP('Données projet'!$B$9,Paramètres!$A$1:$I$89,3,0)*0.475*44/12</f>
        <v>0</v>
      </c>
      <c r="AB152" s="23">
        <f>EXP(-LN(2)/2)*AB151+(1-EXP(-LN(2)/2))/(LN(2)/2)*V152*Y152*VLOOKUP('Données projet'!$B$9,Paramètres!$A$1:$I$89,3,0)*0.475*44/12</f>
        <v>0</v>
      </c>
      <c r="AC152" s="24">
        <f t="shared" si="111"/>
        <v>0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-1.1368683772161603E-13</v>
      </c>
      <c r="AJ152" s="14">
        <f>AI152*VLOOKUP('Données projet'!$B$10,Paramètres!$A$1:$I$89,3,0)*VLOOKUP('Données projet'!$B$10,Paramètres!$A$1:$I$89,5,0)</f>
        <v>-9.9316821433603781E-14</v>
      </c>
      <c r="AK152" s="14" t="e">
        <f t="shared" si="143"/>
        <v>#NUM!</v>
      </c>
      <c r="AL152" s="22" t="e">
        <f t="shared" si="112"/>
        <v>#NUM!</v>
      </c>
      <c r="AM152" s="60" t="e">
        <f t="shared" si="113"/>
        <v>#NUM!</v>
      </c>
      <c r="AN152" s="60">
        <f ca="1">AVERAGE(OFFSET($AM$3,0,0,'Données projet'!$E$10+1,1))-AVERAGE(OFFSET($H$3,0,0,'Données projet'!$E$10+1,1))</f>
        <v>274.66236526869056</v>
      </c>
      <c r="AO152" s="60">
        <f t="shared" si="144"/>
        <v>256.90876395053073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>
        <f>EXP(-LN(2)/35)*AU151+(1-EXP(-LN(2)/35))/(LN(2)/35)*AQ152*AR152*VLOOKUP('Données projet'!$B$10,Paramètres!$A$1:$I$89,3,0)*0.475*44/12</f>
        <v>0</v>
      </c>
      <c r="AV152" s="23">
        <f>EXP(-LN(2)/25)*AV151+(1-EXP(-LN(2)/25))/(LN(2)/25)*Calculateur!AQ152*Calculateur!AS152*VLOOKUP('Données projet'!$B$10,Paramètres!$A$1:$I$89,3,0)*0.475*44/12</f>
        <v>0</v>
      </c>
      <c r="AW152" s="23">
        <f>EXP(-LN(2)/2)*AW151+(1-EXP(-LN(2)/2))/(LN(2)/2)*AQ152*AT152*VLOOKUP('Données projet'!$B$10,Paramètres!$A$1:$I$89,3,0)*0.475*44/12</f>
        <v>0</v>
      </c>
      <c r="AX152" s="23">
        <f t="shared" si="114"/>
        <v>0</v>
      </c>
      <c r="AY152" s="76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3.5</v>
      </c>
      <c r="BD152" s="13">
        <f>IF('Données projet'!$A$88&gt;35,BD151+BC152-BL151,IF(A152&lt;'Données projet'!$A$88,$BA$205^A152,IF(A152='Données projet'!$A$88,'Données projet'!$B$88,BD151+BC152-BL151)))</f>
        <v>372.49999999999989</v>
      </c>
      <c r="BE152" s="14">
        <f>BD152*VLOOKUP('Données projet'!$B$11,Paramètres!$A$1:$I$89,3,0)*VLOOKUP('Données projet'!$B$11,Paramètres!$A$1:$I$89,5,0)</f>
        <v>337.0379999999999</v>
      </c>
      <c r="BF152" s="14">
        <f t="shared" si="145"/>
        <v>78.887667174891362</v>
      </c>
      <c r="BG152" s="22">
        <f t="shared" si="115"/>
        <v>724.40387032960223</v>
      </c>
      <c r="BH152" s="60">
        <f t="shared" si="116"/>
        <v>1017.7372036629356</v>
      </c>
      <c r="BI152" s="60">
        <f ca="1">AVERAGE(OFFSET($BH$3,0,0,'Données projet'!$E$11+1,1))-AVERAGE(OFFSET($H$3,0,0,'Données projet'!$E$11+1,1))</f>
        <v>529.25712986118265</v>
      </c>
      <c r="BJ152" s="60">
        <f t="shared" si="146"/>
        <v>278.21741231699929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>
        <f>EXP(-LN(2)/35)*BP151+(1-EXP(-LN(2)/35))/(LN(2)/35)*BL152*BM152*VLOOKUP('Données projet'!$B$11,Paramètres!$A$1:$I$89,3,0)*0.475*44/12</f>
        <v>0</v>
      </c>
      <c r="BQ152" s="23">
        <f>EXP(-LN(2)/25)*BQ151+(1-EXP(-LN(2)/25))/(LN(2)/25)*Calculateur!BL152*Calculateur!BN152*VLOOKUP('Données projet'!$B$11,Paramètres!$A$1:$I$89,3,0)*0.475*44/12</f>
        <v>0</v>
      </c>
      <c r="BR152" s="23">
        <f>EXP(-LN(2)/2)*BR151+(1-EXP(-LN(2)/2))/(LN(2)/2)*BL152*BO152*VLOOKUP('Données projet'!$B$11,Paramètres!$A$1:$I$89,3,0)*0.475*44/12</f>
        <v>0</v>
      </c>
      <c r="BS152" s="24">
        <f t="shared" si="117"/>
        <v>0</v>
      </c>
      <c r="BT152" s="77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3.5</v>
      </c>
      <c r="BY152" s="13">
        <f>IF('Données projet'!$A$114&gt;35,BY151+BX152-CG151,IF(A152&lt;'Données projet'!$A$114,$BV$205^A152,IF(A152='Données projet'!$A$114,'Données projet'!$B$114,BY151+BX152-CG151)))</f>
        <v>372.49999999999989</v>
      </c>
      <c r="BZ152" s="14">
        <f>BY152*VLOOKUP('Données projet'!$B$12,Paramètres!$A$1:$I$89,3,0)*VLOOKUP('Données projet'!$B$12,Paramètres!$A$1:$I$89,5,0)</f>
        <v>377.71499999999992</v>
      </c>
      <c r="CA152" s="14">
        <f t="shared" si="147"/>
        <v>87.243761197369693</v>
      </c>
      <c r="CB152" s="22">
        <f t="shared" si="118"/>
        <v>809.80317575208539</v>
      </c>
      <c r="CC152" s="60">
        <f t="shared" si="119"/>
        <v>1103.1365090854188</v>
      </c>
      <c r="CD152" s="60">
        <f ca="1">AVERAGE(OFFSET($CC$3,0,0,'Données projet'!$E$12+1,1))-AVERAGE(OFFSET($H$3,0,0,'Données projet'!$E$12+1,1))</f>
        <v>587.74247372331615</v>
      </c>
      <c r="CE152" s="60">
        <f t="shared" si="148"/>
        <v>306.61893266146666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>
        <f>EXP(-LN(2)/35)*CK151+(1-EXP(-LN(2)/35))/(LN(2)/35)*CG152*CH152*VLOOKUP('Données projet'!$B$12,Paramètres!$A$1:$I$89,3,0)*0.475*44/12</f>
        <v>0</v>
      </c>
      <c r="CL152" s="23">
        <f>EXP(-LN(2)/25)*CL151+(1-EXP(-LN(2)/25))/(LN(2)/25)*Calculateur!CG152*Calculateur!CI152*VLOOKUP('Données projet'!$B$12,Paramètres!$A$1:$I$89,3,0)*0.475*44/12</f>
        <v>0</v>
      </c>
      <c r="CM152" s="23">
        <f>EXP(-LN(2)/2)*CM151+(1-EXP(-LN(2)/2))/(LN(2)/2)*CG152*CJ152*VLOOKUP('Données projet'!$B$12,Paramètres!$A$1:$I$89,3,0)*0.475*44/12</f>
        <v>0</v>
      </c>
      <c r="CN152" s="24">
        <f t="shared" si="120"/>
        <v>0</v>
      </c>
      <c r="CO152" s="77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3.5</v>
      </c>
      <c r="CT152" s="13">
        <f>IF('Données projet'!$A$140&gt;35,CT151+CS152-DB151,IF(A152&lt;'Données projet'!$A$140,$CQ$205^A152,IF(A152='Données projet'!$A$140,'Données projet'!$B$140,CT151+CS152-DB151)))</f>
        <v>372.49999999999989</v>
      </c>
      <c r="CU152" s="18">
        <f>CT152*VLOOKUP('Données projet'!$B$13,Paramètres!$A$1:$I$89,3,0)*VLOOKUP('Données projet'!$B$13,Paramètres!$A$1:$I$89,5,0)</f>
        <v>400.95899999999989</v>
      </c>
      <c r="CV152" s="14">
        <f t="shared" si="149"/>
        <v>91.971060649449285</v>
      </c>
      <c r="CW152" s="22">
        <f t="shared" si="121"/>
        <v>858.51985563112385</v>
      </c>
      <c r="CX152" s="60">
        <f t="shared" si="122"/>
        <v>1151.8531889644571</v>
      </c>
      <c r="CY152" s="60">
        <f ca="1">AVERAGE(OFFSET($CX$3,0,0,'Données projet'!$E$13+1,1))-AVERAGE(OFFSET($H$3,0,0,'Données projet'!$E$13+1,1))</f>
        <v>621.10465023992288</v>
      </c>
      <c r="CZ152" s="60">
        <f t="shared" si="150"/>
        <v>322.81767004794284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>
        <f>EXP(-LN(2)/35)*DF151+(1-EXP(-LN(2)/35))/(LN(2)/35)*DB152*DC152*VLOOKUP('Données projet'!$B$13,Paramètres!$A$1:$I$89,3,0)*0.475*44/12</f>
        <v>0</v>
      </c>
      <c r="DG152" s="23">
        <f>EXP(-LN(2)/25)*DG151+(1-EXP(-LN(2)/25))/(LN(2)/25)*Calculateur!DB152*Calculateur!DD152*VLOOKUP('Données projet'!$B$13,Paramètres!$A$1:$I$89,3,0)*0.475*44/12</f>
        <v>0</v>
      </c>
      <c r="DH152" s="23">
        <f>EXP(-LN(2)/2)*DH151+(1-EXP(-LN(2)/2))/(LN(2)/2)*DB152*DE152*VLOOKUP('Données projet'!$B$13,Paramètres!$A$1:$I$89,3,0)*0.475*44/12</f>
        <v>0</v>
      </c>
      <c r="DI152" s="24">
        <f t="shared" si="123"/>
        <v>0</v>
      </c>
      <c r="DJ152" s="77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3.5</v>
      </c>
      <c r="DO152" s="13">
        <f>IF('Données projet'!$A$166&gt;35,DO151+DN152-DW151,IF(A152&lt;'Données projet'!$A$166,$DL$205^A152,IF(A152='Données projet'!$A$166,'Données projet'!$B$166,DO151+DN152-DW151)))</f>
        <v>372.49999999999989</v>
      </c>
      <c r="DP152" s="18">
        <f>DO152*VLOOKUP('Données projet'!$B$14,Paramètres!$A$1:$I$89,3,0)*VLOOKUP('Données projet'!$B$14,Paramètres!$A$1:$I$89,5,0)</f>
        <v>360.28199999999993</v>
      </c>
      <c r="DQ152" s="14">
        <f t="shared" si="151"/>
        <v>83.676100958829579</v>
      </c>
      <c r="DR152" s="22">
        <f t="shared" si="124"/>
        <v>773.22702583662794</v>
      </c>
      <c r="DS152" s="60">
        <f t="shared" si="125"/>
        <v>1066.5603591699612</v>
      </c>
      <c r="DT152" s="60">
        <f ca="1">AVERAGE(OFFSET($DS$3,0,0,'Données projet'!$E$14+1,1))-AVERAGE(OFFSET($H$3,0,0,'Données projet'!$E$14+1,1))</f>
        <v>562.69380557620775</v>
      </c>
      <c r="DU152" s="60">
        <f t="shared" si="152"/>
        <v>294.45557293177131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>
        <f>EXP(-LN(2)/35)*EA151+(1-EXP(-LN(2)/35))/(LN(2)/35)*DW152*DX152*VLOOKUP('Données projet'!$B$14,Paramètres!$A$1:$I$89,3,0)*0.475*44/12</f>
        <v>0</v>
      </c>
      <c r="EB152" s="23">
        <f>EXP(-LN(2)/25)*EB151+(1-EXP(-LN(2)/25))/(LN(2)/25)*Calculateur!DW152*Calculateur!DY152*VLOOKUP('Données projet'!$B$14,Paramètres!$A$1:$I$89,3,0)*0.475*44/12</f>
        <v>0</v>
      </c>
      <c r="EC152" s="23">
        <f>EXP(-LN(2)/2)*EC151+(1-EXP(-LN(2)/2))/(LN(2)/2)*DW152*DZ152*VLOOKUP('Données projet'!$B$14,Paramètres!$A$1:$I$89,3,0)*0.475*44/12</f>
        <v>0</v>
      </c>
      <c r="ED152" s="24">
        <f t="shared" si="126"/>
        <v>0</v>
      </c>
      <c r="EE152" s="77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1.1368683772161603E-13</v>
      </c>
      <c r="EK152" s="18">
        <f>EJ152*VLOOKUP('Données projet'!$B$15,Paramètres!$A$1:$I$89,3,0)*VLOOKUP('Données projet'!$B$15,Paramètres!$A$1:$I$89,5,0)</f>
        <v>8.8675733422860506E-14</v>
      </c>
      <c r="EL152" s="14">
        <f t="shared" si="153"/>
        <v>1.3509285393066301E-12</v>
      </c>
      <c r="EM152" s="22">
        <f t="shared" si="127"/>
        <v>2.5073107750038623E-12</v>
      </c>
      <c r="EN152" s="60">
        <f t="shared" si="128"/>
        <v>293.33333333333582</v>
      </c>
      <c r="EO152" s="60">
        <f ca="1">AVERAGE(OFFSET($EN$3,0,0,'Données projet'!$E$15+1,1))-AVERAGE(OFFSET($H$3,0,0,'Données projet'!$E$15+1,1))</f>
        <v>292.57482726862594</v>
      </c>
      <c r="EP152" s="60">
        <f t="shared" si="154"/>
        <v>283.48738729114024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>
        <f>EXP(-LN(2)/35)*EV151+(1-EXP(-LN(2)/35))/(LN(2)/35)*ER152*ES152*VLOOKUP('Données projet'!$B$15,Paramètres!$A$1:$I$89,3,0)*0.475*44/12</f>
        <v>0</v>
      </c>
      <c r="EW152" s="23">
        <f>EXP(-LN(2)/25)*EW151+(1-EXP(-LN(2)/25))/(LN(2)/25)*Calculateur!ER152*Calculateur!ET152*VLOOKUP('Données projet'!$B$15,Paramètres!$A$1:$I$89,3,0)*0.475*44/12</f>
        <v>0</v>
      </c>
      <c r="EX152" s="23">
        <f>EXP(-LN(2)/2)*EX151+(1-EXP(-LN(2)/2))/(LN(2)/2)*ER152*EU152*VLOOKUP('Données projet'!$B$15,Paramètres!$A$1:$I$89,3,0)*0.475*44/12</f>
        <v>0</v>
      </c>
      <c r="EY152" s="24">
        <f t="shared" si="129"/>
        <v>0</v>
      </c>
      <c r="EZ152" s="77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0" t="e">
        <f t="shared" si="131"/>
        <v>#N/A</v>
      </c>
      <c r="FJ152" s="60" t="e">
        <f ca="1">AVERAGE(OFFSET($FI$3,0,0,'Données projet'!$E$16+1,1))-AVERAGE(OFFSET($H$3,0,0,'Données projet'!$E$16+1,1))</f>
        <v>#N/A</v>
      </c>
      <c r="FK152" s="60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77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0" t="e">
        <f t="shared" si="134"/>
        <v>#N/A</v>
      </c>
      <c r="GE152" s="60" t="e">
        <f ca="1">AVERAGE(OFFSET($GD$3,0,0,'Données projet'!$E$17+1,1))-AVERAGE(OFFSET($H$3,0,0,'Données projet'!$E$17+1,1))</f>
        <v>#N/A</v>
      </c>
      <c r="GF152" s="60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77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0" t="e">
        <f t="shared" si="137"/>
        <v>#N/A</v>
      </c>
      <c r="GZ152" s="60" t="e">
        <f ca="1">AVERAGE(OFFSET($GY$3,0,0,'Données projet'!$E$18+1,1))-AVERAGE(OFFSET($H$3,0,0,'Données projet'!$E$18+1,1))</f>
        <v>#N/A</v>
      </c>
      <c r="HA152" s="60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25">
      <c r="A153" s="11">
        <f>A152+1</f>
        <v>150</v>
      </c>
      <c r="B153" s="74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2">
        <f t="shared" si="140"/>
        <v>0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0</v>
      </c>
      <c r="H153" s="67">
        <f t="shared" si="110"/>
        <v>256.66666666666669</v>
      </c>
      <c r="I153" s="7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1.1368683772161603E-13</v>
      </c>
      <c r="O153" s="14">
        <f>N153*VLOOKUP('Données projet'!$B$9,Paramètres!$A$1:$I$89,3,0)*VLOOKUP('Données projet'!$B$9,Paramètres!$A$1:$I$89,5,0)</f>
        <v>1.0818439477588981E-13</v>
      </c>
      <c r="P153" s="14">
        <f t="shared" si="141"/>
        <v>1.6104228458716316E-12</v>
      </c>
      <c r="Q153" s="22">
        <f t="shared" si="108"/>
        <v>2.9932409441277661E-12</v>
      </c>
      <c r="R153" s="60">
        <f t="shared" si="109"/>
        <v>293.33333333333633</v>
      </c>
      <c r="S153" s="60">
        <f ca="1">AVERAGE(OFFSET($R$3,0,0,'Données projet'!$E$9+1,1))-AVERAGE(OFFSET($H$3,0,0,'Données projet'!$E$9+1,1))</f>
        <v>403.49781966317852</v>
      </c>
      <c r="T153" s="60">
        <f t="shared" si="142"/>
        <v>326.06674572505409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0</v>
      </c>
      <c r="AA153" s="23">
        <f>EXP(-LN(2)/25)*AA152+(1-EXP(-LN(2)/25))/(LN(2)/25)*Calculateur!V153*Calculateur!X153*VLOOKUP('Données projet'!$B$9,Paramètres!$A$1:$I$89,3,0)*0.475*44/12</f>
        <v>0</v>
      </c>
      <c r="AB153" s="23">
        <f>EXP(-LN(2)/2)*AB152+(1-EXP(-LN(2)/2))/(LN(2)/2)*V153*Y153*VLOOKUP('Données projet'!$B$9,Paramètres!$A$1:$I$89,3,0)*0.475*44/12</f>
        <v>0</v>
      </c>
      <c r="AC153" s="24">
        <f t="shared" si="111"/>
        <v>0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-1.1368683772161603E-13</v>
      </c>
      <c r="AJ153" s="14">
        <f>AI153*VLOOKUP('Données projet'!$B$10,Paramètres!$A$1:$I$89,3,0)*VLOOKUP('Données projet'!$B$10,Paramètres!$A$1:$I$89,5,0)</f>
        <v>-9.9316821433603781E-14</v>
      </c>
      <c r="AK153" s="14" t="e">
        <f t="shared" si="143"/>
        <v>#NUM!</v>
      </c>
      <c r="AL153" s="22" t="e">
        <f t="shared" si="112"/>
        <v>#NUM!</v>
      </c>
      <c r="AM153" s="60" t="e">
        <f t="shared" si="113"/>
        <v>#NUM!</v>
      </c>
      <c r="AN153" s="60">
        <f ca="1">AVERAGE(OFFSET($AM$3,0,0,'Données projet'!$E$10+1,1))-AVERAGE(OFFSET($H$3,0,0,'Données projet'!$E$10+1,1))</f>
        <v>274.66236526869056</v>
      </c>
      <c r="AO153" s="60">
        <f t="shared" si="144"/>
        <v>256.90876395053073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>
        <f>EXP(-LN(2)/35)*AU152+(1-EXP(-LN(2)/35))/(LN(2)/35)*AQ153*AR153*VLOOKUP('Données projet'!$B$10,Paramètres!$A$1:$I$89,3,0)*0.475*44/12</f>
        <v>0</v>
      </c>
      <c r="AV153" s="23">
        <f>EXP(-LN(2)/25)*AV152+(1-EXP(-LN(2)/25))/(LN(2)/25)*Calculateur!AQ153*Calculateur!AS153*VLOOKUP('Données projet'!$B$10,Paramètres!$A$1:$I$89,3,0)*0.475*44/12</f>
        <v>0</v>
      </c>
      <c r="AW153" s="23">
        <f>EXP(-LN(2)/2)*AW152+(1-EXP(-LN(2)/2))/(LN(2)/2)*AQ153*AT153*VLOOKUP('Données projet'!$B$10,Paramètres!$A$1:$I$89,3,0)*0.475*44/12</f>
        <v>0</v>
      </c>
      <c r="AX153" s="23">
        <f t="shared" si="114"/>
        <v>0</v>
      </c>
      <c r="AY153" s="76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>
        <f>VLOOKUP(A153,'Données projet'!$A$87:$I$107,2,0)</f>
        <v>376</v>
      </c>
      <c r="BB153" s="13">
        <f>VLOOKUP(A153,'Données projet'!$A$87:$I$107,9,0)</f>
        <v>3.5</v>
      </c>
      <c r="BC153" s="13">
        <f t="array" ref="BC153">INDEX(BB:BB,MIN(IF(ISNUMBER(BB153:BB349),ROW(BB153:BB349),"")))</f>
        <v>3.5</v>
      </c>
      <c r="BD153" s="13">
        <f>IF('Données projet'!$A$88&gt;35,BD152+BC153-BL152,IF(A153&lt;'Données projet'!$A$88,$BA$205^A153,IF(A153='Données projet'!$A$88,'Données projet'!$B$88,BD152+BC153-BL152)))</f>
        <v>375.99999999999989</v>
      </c>
      <c r="BE153" s="14">
        <f>BD153*VLOOKUP('Données projet'!$B$11,Paramètres!$A$1:$I$89,3,0)*VLOOKUP('Données projet'!$B$11,Paramètres!$A$1:$I$89,5,0)</f>
        <v>340.20479999999992</v>
      </c>
      <c r="BF153" s="14">
        <f t="shared" si="145"/>
        <v>79.542257915424329</v>
      </c>
      <c r="BG153" s="22">
        <f t="shared" si="115"/>
        <v>731.05945920269721</v>
      </c>
      <c r="BH153" s="60">
        <f t="shared" si="116"/>
        <v>1024.3927925360306</v>
      </c>
      <c r="BI153" s="60">
        <f ca="1">AVERAGE(OFFSET($BH$3,0,0,'Données projet'!$E$11+1,1))-AVERAGE(OFFSET($H$3,0,0,'Données projet'!$E$11+1,1))</f>
        <v>529.25712986118265</v>
      </c>
      <c r="BJ153" s="60">
        <f t="shared" si="146"/>
        <v>278.21741231699929</v>
      </c>
      <c r="BK153" s="16">
        <f>IF(ISNA(VLOOKUP(A153,'Données projet'!$A$87:$I$107,3,0)),0,VLOOKUP(A153,'Données projet'!$A$87:$I$107,3,0))</f>
        <v>10</v>
      </c>
      <c r="BL153" s="16">
        <f>IF(ISNA(VLOOKUP(A153,'Données projet'!$A$87:$I$107,4,0)),0,VLOOKUP(A153,'Données projet'!$A$87:$I$107,4,0))</f>
        <v>376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>
        <f>EXP(-LN(2)/35)*BP152+(1-EXP(-LN(2)/35))/(LN(2)/35)*BL153*BM153*VLOOKUP('Données projet'!$B$11,Paramètres!$A$1:$I$89,3,0)*0.475*44/12</f>
        <v>0</v>
      </c>
      <c r="BQ153" s="23">
        <f>EXP(-LN(2)/25)*BQ152+(1-EXP(-LN(2)/25))/(LN(2)/25)*Calculateur!BL153*Calculateur!BN153*VLOOKUP('Données projet'!$B$11,Paramètres!$A$1:$I$89,3,0)*0.475*44/12</f>
        <v>0</v>
      </c>
      <c r="BR153" s="23">
        <f>EXP(-LN(2)/2)*BR152+(1-EXP(-LN(2)/2))/(LN(2)/2)*BL153*BO153*VLOOKUP('Données projet'!$B$11,Paramètres!$A$1:$I$89,3,0)*0.475*44/12</f>
        <v>0</v>
      </c>
      <c r="BS153" s="24">
        <f t="shared" si="117"/>
        <v>0</v>
      </c>
      <c r="BT153" s="77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>
        <f>VLOOKUP(A153,'Données projet'!$A$113:$I$133,2,0)</f>
        <v>376</v>
      </c>
      <c r="BW153" s="13">
        <f>VLOOKUP(A153,'Données projet'!$A$113:$I$133,9,0)</f>
        <v>3.5</v>
      </c>
      <c r="BX153" s="13">
        <f t="array" ref="BX153">INDEX(BW:BW,MIN(IF(ISNUMBER(BW153:BW349),ROW(BW153:BW349),"")))</f>
        <v>3.5</v>
      </c>
      <c r="BY153" s="13">
        <f>IF('Données projet'!$A$114&gt;35,BY152+BX153-CG152,IF(A153&lt;'Données projet'!$A$114,$BV$205^A153,IF(A153='Données projet'!$A$114,'Données projet'!$B$114,BY152+BX153-CG152)))</f>
        <v>375.99999999999989</v>
      </c>
      <c r="BZ153" s="14">
        <f>BY153*VLOOKUP('Données projet'!$B$12,Paramètres!$A$1:$I$89,3,0)*VLOOKUP('Données projet'!$B$12,Paramètres!$A$1:$I$89,5,0)</f>
        <v>381.2639999999999</v>
      </c>
      <c r="CA153" s="14">
        <f t="shared" si="147"/>
        <v>87.967688780656687</v>
      </c>
      <c r="CB153" s="22">
        <f t="shared" si="118"/>
        <v>817.24519129297687</v>
      </c>
      <c r="CC153" s="60">
        <f t="shared" si="119"/>
        <v>1110.5785246263101</v>
      </c>
      <c r="CD153" s="60">
        <f ca="1">AVERAGE(OFFSET($CC$3,0,0,'Données projet'!$E$12+1,1))-AVERAGE(OFFSET($H$3,0,0,'Données projet'!$E$12+1,1))</f>
        <v>587.74247372331615</v>
      </c>
      <c r="CE153" s="60">
        <f t="shared" si="148"/>
        <v>306.61893266146666</v>
      </c>
      <c r="CF153" s="16">
        <f>IF(ISNA(VLOOKUP(A153,'Données projet'!$A$113:$I$133,3,0)),0,VLOOKUP(A153,'Données projet'!$A$113:$I$133,3,0))</f>
        <v>10</v>
      </c>
      <c r="CG153" s="16">
        <f>IF(ISNA(VLOOKUP(A153,'Données projet'!$A$113:$I$133,4,0)),0,VLOOKUP(A153,'Données projet'!$A$113:$I$133,4,0))</f>
        <v>376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>
        <f>EXP(-LN(2)/35)*CK152+(1-EXP(-LN(2)/35))/(LN(2)/35)*CG153*CH153*VLOOKUP('Données projet'!$B$12,Paramètres!$A$1:$I$89,3,0)*0.475*44/12</f>
        <v>0</v>
      </c>
      <c r="CL153" s="23">
        <f>EXP(-LN(2)/25)*CL152+(1-EXP(-LN(2)/25))/(LN(2)/25)*Calculateur!CG153*Calculateur!CI153*VLOOKUP('Données projet'!$B$12,Paramètres!$A$1:$I$89,3,0)*0.475*44/12</f>
        <v>0</v>
      </c>
      <c r="CM153" s="23">
        <f>EXP(-LN(2)/2)*CM152+(1-EXP(-LN(2)/2))/(LN(2)/2)*CG153*CJ153*VLOOKUP('Données projet'!$B$12,Paramètres!$A$1:$I$89,3,0)*0.475*44/12</f>
        <v>0</v>
      </c>
      <c r="CN153" s="24">
        <f t="shared" si="120"/>
        <v>0</v>
      </c>
      <c r="CO153" s="77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>
        <f>VLOOKUP(A153,'Données projet'!$A$139:$I$159,2,0)</f>
        <v>376</v>
      </c>
      <c r="CR153" s="13">
        <f>VLOOKUP(A153,'Données projet'!$A$139:$I$159,9,0)</f>
        <v>3.5</v>
      </c>
      <c r="CS153" s="13">
        <f t="array" ref="CS153">INDEX(CR:CR,MIN(IF(ISNUMBER(CR153:CR349),ROW(CR153:CR349),"")))</f>
        <v>3.5</v>
      </c>
      <c r="CT153" s="13">
        <f>IF('Données projet'!$A$140&gt;35,CT152+CS153-DB152,IF(A153&lt;'Données projet'!$A$140,$CQ$205^A153,IF(A153='Données projet'!$A$140,'Données projet'!$B$140,CT152+CS153-DB152)))</f>
        <v>375.99999999999989</v>
      </c>
      <c r="CU153" s="18">
        <f>CT153*VLOOKUP('Données projet'!$B$13,Paramètres!$A$1:$I$89,3,0)*VLOOKUP('Données projet'!$B$13,Paramètres!$A$1:$I$89,5,0)</f>
        <v>404.72639999999984</v>
      </c>
      <c r="CV153" s="14">
        <f t="shared" si="149"/>
        <v>92.734214217733282</v>
      </c>
      <c r="CW153" s="22">
        <f t="shared" si="121"/>
        <v>866.41056976255186</v>
      </c>
      <c r="CX153" s="60">
        <f t="shared" si="122"/>
        <v>1159.7439030958851</v>
      </c>
      <c r="CY153" s="60">
        <f ca="1">AVERAGE(OFFSET($CX$3,0,0,'Données projet'!$E$13+1,1))-AVERAGE(OFFSET($H$3,0,0,'Données projet'!$E$13+1,1))</f>
        <v>621.10465023992288</v>
      </c>
      <c r="CZ153" s="60">
        <f t="shared" si="150"/>
        <v>322.81767004794284</v>
      </c>
      <c r="DA153" s="16">
        <f>IF(ISNA(VLOOKUP(A153,'Données projet'!$A$139:$I$159,3,0)),0,VLOOKUP(A153,'Données projet'!$A$139:$I$159,3,0))</f>
        <v>10</v>
      </c>
      <c r="DB153" s="16">
        <f>IF(ISNA(VLOOKUP(A153,'Données projet'!$A$139:$I$159,4,0)),0,VLOOKUP(A153,'Données projet'!$A$139:$I$159,4,0))</f>
        <v>376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>
        <f>EXP(-LN(2)/35)*DF152+(1-EXP(-LN(2)/35))/(LN(2)/35)*DB153*DC153*VLOOKUP('Données projet'!$B$13,Paramètres!$A$1:$I$89,3,0)*0.475*44/12</f>
        <v>0</v>
      </c>
      <c r="DG153" s="23">
        <f>EXP(-LN(2)/25)*DG152+(1-EXP(-LN(2)/25))/(LN(2)/25)*Calculateur!DB153*Calculateur!DD153*VLOOKUP('Données projet'!$B$13,Paramètres!$A$1:$I$89,3,0)*0.475*44/12</f>
        <v>0</v>
      </c>
      <c r="DH153" s="23">
        <f>EXP(-LN(2)/2)*DH152+(1-EXP(-LN(2)/2))/(LN(2)/2)*DB153*DE153*VLOOKUP('Données projet'!$B$13,Paramètres!$A$1:$I$89,3,0)*0.475*44/12</f>
        <v>0</v>
      </c>
      <c r="DI153" s="24">
        <f t="shared" si="123"/>
        <v>0</v>
      </c>
      <c r="DJ153" s="77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>
        <f>VLOOKUP(A153,'Données projet'!$A$165:$I$185,2,0)</f>
        <v>376</v>
      </c>
      <c r="DM153" s="13">
        <f>VLOOKUP(A153,'Données projet'!$A$165:$I$185,9,0)</f>
        <v>3.5</v>
      </c>
      <c r="DN153" s="13">
        <f t="array" ref="DN153">INDEX(DM:DM,MIN(IF(ISNUMBER(DM153:DM349),ROW(DM153:DM349),"")))</f>
        <v>3.5</v>
      </c>
      <c r="DO153" s="13">
        <f>IF('Données projet'!$A$166&gt;35,DO152+DN153-DW152,IF(A153&lt;'Données projet'!$A$166,$DL$205^A153,IF(A153='Données projet'!$A$166,'Données projet'!$B$166,DO152+DN153-DW152)))</f>
        <v>375.99999999999989</v>
      </c>
      <c r="DP153" s="18">
        <f>DO153*VLOOKUP('Données projet'!$B$14,Paramètres!$A$1:$I$89,3,0)*VLOOKUP('Données projet'!$B$14,Paramètres!$A$1:$I$89,5,0)</f>
        <v>363.66719999999987</v>
      </c>
      <c r="DQ153" s="14">
        <f t="shared" si="151"/>
        <v>84.370424962226963</v>
      </c>
      <c r="DR153" s="22">
        <f t="shared" si="124"/>
        <v>780.33219680921172</v>
      </c>
      <c r="DS153" s="60">
        <f t="shared" si="125"/>
        <v>1073.6655301425451</v>
      </c>
      <c r="DT153" s="60">
        <f ca="1">AVERAGE(OFFSET($DS$3,0,0,'Données projet'!$E$14+1,1))-AVERAGE(OFFSET($H$3,0,0,'Données projet'!$E$14+1,1))</f>
        <v>562.69380557620775</v>
      </c>
      <c r="DU153" s="60">
        <f t="shared" si="152"/>
        <v>294.45557293177131</v>
      </c>
      <c r="DV153" s="16">
        <f>IF(ISNA(VLOOKUP(A153,'Données projet'!$A$165:$I$185,3,0)),0,VLOOKUP(A153,'Données projet'!$A$165:$I$185,3,0))</f>
        <v>10</v>
      </c>
      <c r="DW153" s="16">
        <f>IF(ISNA(VLOOKUP(A153,'Données projet'!$A$165:$I$185,4,0)),0,VLOOKUP(A153,'Données projet'!$A$165:$I$185,4,0))</f>
        <v>376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>
        <f>EXP(-LN(2)/35)*EA152+(1-EXP(-LN(2)/35))/(LN(2)/35)*DW153*DX153*VLOOKUP('Données projet'!$B$14,Paramètres!$A$1:$I$89,3,0)*0.475*44/12</f>
        <v>0</v>
      </c>
      <c r="EB153" s="23">
        <f>EXP(-LN(2)/25)*EB152+(1-EXP(-LN(2)/25))/(LN(2)/25)*Calculateur!DW153*Calculateur!DY153*VLOOKUP('Données projet'!$B$14,Paramètres!$A$1:$I$89,3,0)*0.475*44/12</f>
        <v>0</v>
      </c>
      <c r="EC153" s="23">
        <f>EXP(-LN(2)/2)*EC152+(1-EXP(-LN(2)/2))/(LN(2)/2)*DW153*DZ153*VLOOKUP('Données projet'!$B$14,Paramètres!$A$1:$I$89,3,0)*0.475*44/12</f>
        <v>0</v>
      </c>
      <c r="ED153" s="24">
        <f t="shared" si="126"/>
        <v>0</v>
      </c>
      <c r="EE153" s="77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1.1368683772161603E-13</v>
      </c>
      <c r="EK153" s="18">
        <f>EJ153*VLOOKUP('Données projet'!$B$15,Paramètres!$A$1:$I$89,3,0)*VLOOKUP('Données projet'!$B$15,Paramètres!$A$1:$I$89,5,0)</f>
        <v>8.8675733422860506E-14</v>
      </c>
      <c r="EL153" s="14">
        <f t="shared" si="153"/>
        <v>1.3509285393066301E-12</v>
      </c>
      <c r="EM153" s="22">
        <f t="shared" si="127"/>
        <v>2.5073107750038623E-12</v>
      </c>
      <c r="EN153" s="60">
        <f t="shared" si="128"/>
        <v>293.33333333333582</v>
      </c>
      <c r="EO153" s="60">
        <f ca="1">AVERAGE(OFFSET($EN$3,0,0,'Données projet'!$E$15+1,1))-AVERAGE(OFFSET($H$3,0,0,'Données projet'!$E$15+1,1))</f>
        <v>292.57482726862594</v>
      </c>
      <c r="EP153" s="60">
        <f t="shared" si="154"/>
        <v>283.48738729114024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>
        <f>EXP(-LN(2)/35)*EV152+(1-EXP(-LN(2)/35))/(LN(2)/35)*ER153*ES153*VLOOKUP('Données projet'!$B$15,Paramètres!$A$1:$I$89,3,0)*0.475*44/12</f>
        <v>0</v>
      </c>
      <c r="EW153" s="23">
        <f>EXP(-LN(2)/25)*EW152+(1-EXP(-LN(2)/25))/(LN(2)/25)*Calculateur!ER153*Calculateur!ET153*VLOOKUP('Données projet'!$B$15,Paramètres!$A$1:$I$89,3,0)*0.475*44/12</f>
        <v>0</v>
      </c>
      <c r="EX153" s="23">
        <f>EXP(-LN(2)/2)*EX152+(1-EXP(-LN(2)/2))/(LN(2)/2)*ER153*EU153*VLOOKUP('Données projet'!$B$15,Paramètres!$A$1:$I$89,3,0)*0.475*44/12</f>
        <v>0</v>
      </c>
      <c r="EY153" s="24">
        <f t="shared" si="129"/>
        <v>0</v>
      </c>
      <c r="EZ153" s="77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0" t="e">
        <f t="shared" si="131"/>
        <v>#N/A</v>
      </c>
      <c r="FJ153" s="60" t="e">
        <f ca="1">AVERAGE(OFFSET($FI$3,0,0,'Données projet'!$E$16+1,1))-AVERAGE(OFFSET($H$3,0,0,'Données projet'!$E$16+1,1))</f>
        <v>#N/A</v>
      </c>
      <c r="FK153" s="60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77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0" t="e">
        <f t="shared" si="134"/>
        <v>#N/A</v>
      </c>
      <c r="GE153" s="60" t="e">
        <f ca="1">AVERAGE(OFFSET($GD$3,0,0,'Données projet'!$E$17+1,1))-AVERAGE(OFFSET($H$3,0,0,'Données projet'!$E$17+1,1))</f>
        <v>#N/A</v>
      </c>
      <c r="GF153" s="60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77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0" t="e">
        <f t="shared" si="137"/>
        <v>#N/A</v>
      </c>
      <c r="GZ153" s="60" t="e">
        <f ca="1">AVERAGE(OFFSET($GY$3,0,0,'Données projet'!$E$18+1,1))-AVERAGE(OFFSET($H$3,0,0,'Données projet'!$E$18+1,1))</f>
        <v>#N/A</v>
      </c>
      <c r="HA153" s="60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25">
      <c r="A154" s="11">
        <f t="shared" ref="A154:A202" si="161">A153+1</f>
        <v>151</v>
      </c>
      <c r="B154" s="74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2">
        <f t="shared" si="140"/>
        <v>0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0</v>
      </c>
      <c r="H154" s="67">
        <f t="shared" si="110"/>
        <v>256.66666666666669</v>
      </c>
      <c r="I154" s="7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1.1368683772161603E-13</v>
      </c>
      <c r="O154" s="14">
        <f>N154*VLOOKUP('Données projet'!$B$9,Paramètres!$A$1:$I$89,3,0)*VLOOKUP('Données projet'!$B$9,Paramètres!$A$1:$I$89,5,0)</f>
        <v>1.0818439477588981E-13</v>
      </c>
      <c r="P154" s="14">
        <f t="shared" si="141"/>
        <v>1.6104228458716316E-12</v>
      </c>
      <c r="Q154" s="22">
        <f t="shared" ref="Q154:Q203" si="162">(O154+P154)*0.475*44/12</f>
        <v>2.9932409441277661E-12</v>
      </c>
      <c r="R154" s="60">
        <f t="shared" si="109"/>
        <v>293.33333333333633</v>
      </c>
      <c r="S154" s="60">
        <f ca="1">AVERAGE(OFFSET($R$3,0,0,'Données projet'!$E$9+1,1))-AVERAGE(OFFSET($H$3,0,0,'Données projet'!$E$9+1,1))</f>
        <v>403.49781966317852</v>
      </c>
      <c r="T154" s="60">
        <f t="shared" si="142"/>
        <v>326.06674572505409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0</v>
      </c>
      <c r="AA154" s="23">
        <f>EXP(-LN(2)/25)*AA153+(1-EXP(-LN(2)/25))/(LN(2)/25)*Calculateur!V154*Calculateur!X154*VLOOKUP('Données projet'!$B$9,Paramètres!$A$1:$I$89,3,0)*0.475*44/12</f>
        <v>0</v>
      </c>
      <c r="AB154" s="23">
        <f>EXP(-LN(2)/2)*AB153+(1-EXP(-LN(2)/2))/(LN(2)/2)*V154*Y154*VLOOKUP('Données projet'!$B$9,Paramètres!$A$1:$I$89,3,0)*0.475*44/12</f>
        <v>0</v>
      </c>
      <c r="AC154" s="24">
        <f t="shared" ref="AC154:AC203" si="163">SUM(Z154:AB154)</f>
        <v>0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-1.1368683772161603E-13</v>
      </c>
      <c r="AJ154" s="14">
        <f>AI154*VLOOKUP('Données projet'!$B$10,Paramètres!$A$1:$I$89,3,0)*VLOOKUP('Données projet'!$B$10,Paramètres!$A$1:$I$89,5,0)</f>
        <v>-9.9316821433603781E-14</v>
      </c>
      <c r="AK154" s="14" t="e">
        <f t="shared" ref="AK154:AK203" si="164">EXP(-1.0587+0.8836*LN(AJ154)+0.284)</f>
        <v>#NUM!</v>
      </c>
      <c r="AL154" s="22" t="e">
        <f t="shared" ref="AL154:AL203" si="165">(AJ154+AK154)*0.475*44/12</f>
        <v>#NUM!</v>
      </c>
      <c r="AM154" s="60" t="e">
        <f t="shared" si="113"/>
        <v>#NUM!</v>
      </c>
      <c r="AN154" s="60">
        <f ca="1">AVERAGE(OFFSET($AM$3,0,0,'Données projet'!$E$10+1,1))-AVERAGE(OFFSET($H$3,0,0,'Données projet'!$E$10+1,1))</f>
        <v>274.66236526869056</v>
      </c>
      <c r="AO154" s="60">
        <f t="shared" si="144"/>
        <v>256.90876395053073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>
        <f>EXP(-LN(2)/35)*AU153+(1-EXP(-LN(2)/35))/(LN(2)/35)*AQ154*AR154*VLOOKUP('Données projet'!$B$10,Paramètres!$A$1:$I$89,3,0)*0.475*44/12</f>
        <v>0</v>
      </c>
      <c r="AV154" s="23">
        <f>EXP(-LN(2)/25)*AV153+(1-EXP(-LN(2)/25))/(LN(2)/25)*Calculateur!AQ154*Calculateur!AS154*VLOOKUP('Données projet'!$B$10,Paramètres!$A$1:$I$89,3,0)*0.475*44/12</f>
        <v>0</v>
      </c>
      <c r="AW154" s="23">
        <f>EXP(-LN(2)/2)*AW153+(1-EXP(-LN(2)/2))/(LN(2)/2)*AQ154*AT154*VLOOKUP('Données projet'!$B$10,Paramètres!$A$1:$I$89,3,0)*0.475*44/12</f>
        <v>0</v>
      </c>
      <c r="AX154" s="23">
        <f t="shared" ref="AX154:AX203" si="166">SUM(AU154:AW154)</f>
        <v>0</v>
      </c>
      <c r="AY154" s="76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-1.1368683772161603E-13</v>
      </c>
      <c r="BE154" s="14">
        <f>BD154*VLOOKUP('Données projet'!$B$11,Paramètres!$A$1:$I$89,3,0)*VLOOKUP('Données projet'!$B$11,Paramètres!$A$1:$I$89,5,0)</f>
        <v>-1.0286385077051818E-13</v>
      </c>
      <c r="BF154" s="14" t="e">
        <f t="shared" ref="BF154:BF203" si="167">EXP(-1.0587+0.8836*LN(BE154)+0.284)</f>
        <v>#NUM!</v>
      </c>
      <c r="BG154" s="22" t="e">
        <f t="shared" ref="BG154:BG203" si="168">(BE154+BF154)*0.475*44/12</f>
        <v>#NUM!</v>
      </c>
      <c r="BH154" s="60" t="e">
        <f t="shared" si="116"/>
        <v>#NUM!</v>
      </c>
      <c r="BI154" s="60">
        <f ca="1">AVERAGE(OFFSET($BH$3,0,0,'Données projet'!$E$11+1,1))-AVERAGE(OFFSET($H$3,0,0,'Données projet'!$E$11+1,1))</f>
        <v>529.25712986118265</v>
      </c>
      <c r="BJ154" s="60">
        <f t="shared" si="146"/>
        <v>278.21741231699929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>
        <f>EXP(-LN(2)/35)*BP153+(1-EXP(-LN(2)/35))/(LN(2)/35)*BL154*BM154*VLOOKUP('Données projet'!$B$11,Paramètres!$A$1:$I$89,3,0)*0.475*44/12</f>
        <v>0</v>
      </c>
      <c r="BQ154" s="23">
        <f>EXP(-LN(2)/25)*BQ153+(1-EXP(-LN(2)/25))/(LN(2)/25)*Calculateur!BL154*Calculateur!BN154*VLOOKUP('Données projet'!$B$11,Paramètres!$A$1:$I$89,3,0)*0.475*44/12</f>
        <v>0</v>
      </c>
      <c r="BR154" s="23">
        <f>EXP(-LN(2)/2)*BR153+(1-EXP(-LN(2)/2))/(LN(2)/2)*BL154*BO154*VLOOKUP('Données projet'!$B$11,Paramètres!$A$1:$I$89,3,0)*0.475*44/12</f>
        <v>0</v>
      </c>
      <c r="BS154" s="24">
        <f t="shared" ref="BS154:BS203" si="169">SUM(BP154:BR154)</f>
        <v>0</v>
      </c>
      <c r="BT154" s="77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-1.1368683772161603E-13</v>
      </c>
      <c r="BZ154" s="14">
        <f>BY154*VLOOKUP('Données projet'!$B$12,Paramètres!$A$1:$I$89,3,0)*VLOOKUP('Données projet'!$B$12,Paramètres!$A$1:$I$89,5,0)</f>
        <v>-1.1527845344971866E-13</v>
      </c>
      <c r="CA154" s="14" t="e">
        <f t="shared" ref="CA154:CA203" si="170">EXP(-1.0587+0.8836*LN(BZ154)+0.284)</f>
        <v>#NUM!</v>
      </c>
      <c r="CB154" s="22" t="e">
        <f t="shared" ref="CB154:CB203" si="171">(BZ154+CA154)*0.475*44/12</f>
        <v>#NUM!</v>
      </c>
      <c r="CC154" s="60" t="e">
        <f t="shared" si="119"/>
        <v>#NUM!</v>
      </c>
      <c r="CD154" s="60">
        <f ca="1">AVERAGE(OFFSET($CC$3,0,0,'Données projet'!$E$12+1,1))-AVERAGE(OFFSET($H$3,0,0,'Données projet'!$E$12+1,1))</f>
        <v>587.74247372331615</v>
      </c>
      <c r="CE154" s="60">
        <f t="shared" si="148"/>
        <v>306.61893266146666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>
        <f>EXP(-LN(2)/35)*CK153+(1-EXP(-LN(2)/35))/(LN(2)/35)*CG154*CH154*VLOOKUP('Données projet'!$B$12,Paramètres!$A$1:$I$89,3,0)*0.475*44/12</f>
        <v>0</v>
      </c>
      <c r="CL154" s="23">
        <f>EXP(-LN(2)/25)*CL153+(1-EXP(-LN(2)/25))/(LN(2)/25)*Calculateur!CG154*Calculateur!CI154*VLOOKUP('Données projet'!$B$12,Paramètres!$A$1:$I$89,3,0)*0.475*44/12</f>
        <v>0</v>
      </c>
      <c r="CM154" s="23">
        <f>EXP(-LN(2)/2)*CM153+(1-EXP(-LN(2)/2))/(LN(2)/2)*CG154*CJ154*VLOOKUP('Données projet'!$B$12,Paramètres!$A$1:$I$89,3,0)*0.475*44/12</f>
        <v>0</v>
      </c>
      <c r="CN154" s="24">
        <f t="shared" ref="CN154:CN203" si="172">SUM(CK154:CM154)</f>
        <v>0</v>
      </c>
      <c r="CO154" s="77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-1.1368683772161603E-13</v>
      </c>
      <c r="CU154" s="18">
        <f>CT154*VLOOKUP('Données projet'!$B$13,Paramètres!$A$1:$I$89,3,0)*VLOOKUP('Données projet'!$B$13,Paramètres!$A$1:$I$89,5,0)</f>
        <v>-1.223725121235475E-13</v>
      </c>
      <c r="CV154" s="14" t="e">
        <f t="shared" ref="CV154:CV203" si="173">EXP(-1.0587+0.8836*LN(CU154)+0.284)</f>
        <v>#NUM!</v>
      </c>
      <c r="CW154" s="22" t="e">
        <f t="shared" ref="CW154:CW203" si="174">(CU154+CV154)*0.475*44/12</f>
        <v>#NUM!</v>
      </c>
      <c r="CX154" s="60" t="e">
        <f t="shared" si="122"/>
        <v>#NUM!</v>
      </c>
      <c r="CY154" s="60">
        <f ca="1">AVERAGE(OFFSET($CX$3,0,0,'Données projet'!$E$13+1,1))-AVERAGE(OFFSET($H$3,0,0,'Données projet'!$E$13+1,1))</f>
        <v>621.10465023992288</v>
      </c>
      <c r="CZ154" s="60">
        <f t="shared" si="150"/>
        <v>322.81767004794284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>
        <f>EXP(-LN(2)/35)*DF153+(1-EXP(-LN(2)/35))/(LN(2)/35)*DB154*DC154*VLOOKUP('Données projet'!$B$13,Paramètres!$A$1:$I$89,3,0)*0.475*44/12</f>
        <v>0</v>
      </c>
      <c r="DG154" s="23">
        <f>EXP(-LN(2)/25)*DG153+(1-EXP(-LN(2)/25))/(LN(2)/25)*Calculateur!DB154*Calculateur!DD154*VLOOKUP('Données projet'!$B$13,Paramètres!$A$1:$I$89,3,0)*0.475*44/12</f>
        <v>0</v>
      </c>
      <c r="DH154" s="23">
        <f>EXP(-LN(2)/2)*DH153+(1-EXP(-LN(2)/2))/(LN(2)/2)*DB154*DE154*VLOOKUP('Données projet'!$B$13,Paramètres!$A$1:$I$89,3,0)*0.475*44/12</f>
        <v>0</v>
      </c>
      <c r="DI154" s="24">
        <f t="shared" ref="DI154:DI203" si="175">SUM(DF154:DH154)</f>
        <v>0</v>
      </c>
      <c r="DJ154" s="77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-1.1368683772161603E-13</v>
      </c>
      <c r="DP154" s="18">
        <f>DO154*VLOOKUP('Données projet'!$B$14,Paramètres!$A$1:$I$89,3,0)*VLOOKUP('Données projet'!$B$14,Paramètres!$A$1:$I$89,5,0)</f>
        <v>-1.0995790944434703E-13</v>
      </c>
      <c r="DQ154" s="14" t="e">
        <f t="shared" ref="DQ154:DQ203" si="176">EXP(-1.0587+0.8836*LN(DP154)+0.284)</f>
        <v>#NUM!</v>
      </c>
      <c r="DR154" s="22" t="e">
        <f t="shared" ref="DR154:DR203" si="177">(DP154+DQ154)*0.475*44/12</f>
        <v>#NUM!</v>
      </c>
      <c r="DS154" s="60" t="e">
        <f t="shared" si="125"/>
        <v>#NUM!</v>
      </c>
      <c r="DT154" s="60">
        <f ca="1">AVERAGE(OFFSET($DS$3,0,0,'Données projet'!$E$14+1,1))-AVERAGE(OFFSET($H$3,0,0,'Données projet'!$E$14+1,1))</f>
        <v>562.69380557620775</v>
      </c>
      <c r="DU154" s="60">
        <f t="shared" si="152"/>
        <v>294.45557293177131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>
        <f>EXP(-LN(2)/35)*EA153+(1-EXP(-LN(2)/35))/(LN(2)/35)*DW154*DX154*VLOOKUP('Données projet'!$B$14,Paramètres!$A$1:$I$89,3,0)*0.475*44/12</f>
        <v>0</v>
      </c>
      <c r="EB154" s="23">
        <f>EXP(-LN(2)/25)*EB153+(1-EXP(-LN(2)/25))/(LN(2)/25)*Calculateur!DW154*Calculateur!DY154*VLOOKUP('Données projet'!$B$14,Paramètres!$A$1:$I$89,3,0)*0.475*44/12</f>
        <v>0</v>
      </c>
      <c r="EC154" s="23">
        <f>EXP(-LN(2)/2)*EC153+(1-EXP(-LN(2)/2))/(LN(2)/2)*DW154*DZ154*VLOOKUP('Données projet'!$B$14,Paramètres!$A$1:$I$89,3,0)*0.475*44/12</f>
        <v>0</v>
      </c>
      <c r="ED154" s="24">
        <f t="shared" ref="ED154:ED203" si="178">SUM(EA154:EC154)</f>
        <v>0</v>
      </c>
      <c r="EE154" s="77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1.1368683772161603E-13</v>
      </c>
      <c r="EK154" s="18">
        <f>EJ154*VLOOKUP('Données projet'!$B$15,Paramètres!$A$1:$I$89,3,0)*VLOOKUP('Données projet'!$B$15,Paramètres!$A$1:$I$89,5,0)</f>
        <v>8.8675733422860506E-14</v>
      </c>
      <c r="EL154" s="14">
        <f t="shared" ref="EL154:EL203" si="179">EXP(-1.0587+0.8836*LN(EK154)+0.284)</f>
        <v>1.3509285393066301E-12</v>
      </c>
      <c r="EM154" s="22">
        <f t="shared" ref="EM154:EM203" si="180">(EK154+EL154)*0.475*44/12</f>
        <v>2.5073107750038623E-12</v>
      </c>
      <c r="EN154" s="60">
        <f t="shared" si="128"/>
        <v>293.33333333333582</v>
      </c>
      <c r="EO154" s="60">
        <f ca="1">AVERAGE(OFFSET($EN$3,0,0,'Données projet'!$E$15+1,1))-AVERAGE(OFFSET($H$3,0,0,'Données projet'!$E$15+1,1))</f>
        <v>292.57482726862594</v>
      </c>
      <c r="EP154" s="60">
        <f t="shared" si="154"/>
        <v>283.48738729114024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>
        <f>EXP(-LN(2)/35)*EV153+(1-EXP(-LN(2)/35))/(LN(2)/35)*ER154*ES154*VLOOKUP('Données projet'!$B$15,Paramètres!$A$1:$I$89,3,0)*0.475*44/12</f>
        <v>0</v>
      </c>
      <c r="EW154" s="23">
        <f>EXP(-LN(2)/25)*EW153+(1-EXP(-LN(2)/25))/(LN(2)/25)*Calculateur!ER154*Calculateur!ET154*VLOOKUP('Données projet'!$B$15,Paramètres!$A$1:$I$89,3,0)*0.475*44/12</f>
        <v>0</v>
      </c>
      <c r="EX154" s="23">
        <f>EXP(-LN(2)/2)*EX153+(1-EXP(-LN(2)/2))/(LN(2)/2)*ER154*EU154*VLOOKUP('Données projet'!$B$15,Paramètres!$A$1:$I$89,3,0)*0.475*44/12</f>
        <v>0</v>
      </c>
      <c r="EY154" s="24">
        <f t="shared" ref="EY154:EY203" si="181">SUM(EV154:EX154)</f>
        <v>0</v>
      </c>
      <c r="EZ154" s="77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0" t="e">
        <f t="shared" si="131"/>
        <v>#N/A</v>
      </c>
      <c r="FJ154" s="60" t="e">
        <f ca="1">AVERAGE(OFFSET($FI$3,0,0,'Données projet'!$E$16+1,1))-AVERAGE(OFFSET($H$3,0,0,'Données projet'!$E$16+1,1))</f>
        <v>#N/A</v>
      </c>
      <c r="FK154" s="60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77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0" t="e">
        <f t="shared" si="134"/>
        <v>#N/A</v>
      </c>
      <c r="GE154" s="60" t="e">
        <f ca="1">AVERAGE(OFFSET($GD$3,0,0,'Données projet'!$E$17+1,1))-AVERAGE(OFFSET($H$3,0,0,'Données projet'!$E$17+1,1))</f>
        <v>#N/A</v>
      </c>
      <c r="GF154" s="60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77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0" t="e">
        <f t="shared" si="137"/>
        <v>#N/A</v>
      </c>
      <c r="GZ154" s="60" t="e">
        <f ca="1">AVERAGE(OFFSET($GY$3,0,0,'Données projet'!$E$18+1,1))-AVERAGE(OFFSET($H$3,0,0,'Données projet'!$E$18+1,1))</f>
        <v>#N/A</v>
      </c>
      <c r="HA154" s="60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25">
      <c r="A155" s="11">
        <f t="shared" si="161"/>
        <v>152</v>
      </c>
      <c r="B155" s="74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2">
        <f t="shared" si="140"/>
        <v>0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0</v>
      </c>
      <c r="H155" s="67">
        <f t="shared" si="110"/>
        <v>256.66666666666669</v>
      </c>
      <c r="I155" s="7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1.1368683772161603E-13</v>
      </c>
      <c r="O155" s="14">
        <f>N155*VLOOKUP('Données projet'!$B$9,Paramètres!$A$1:$I$89,3,0)*VLOOKUP('Données projet'!$B$9,Paramètres!$A$1:$I$89,5,0)</f>
        <v>1.0818439477588981E-13</v>
      </c>
      <c r="P155" s="14">
        <f t="shared" si="141"/>
        <v>1.6104228458716316E-12</v>
      </c>
      <c r="Q155" s="22">
        <f t="shared" si="162"/>
        <v>2.9932409441277661E-12</v>
      </c>
      <c r="R155" s="60">
        <f t="shared" si="109"/>
        <v>293.33333333333633</v>
      </c>
      <c r="S155" s="60">
        <f ca="1">AVERAGE(OFFSET($R$3,0,0,'Données projet'!$E$9+1,1))-AVERAGE(OFFSET($H$3,0,0,'Données projet'!$E$9+1,1))</f>
        <v>403.49781966317852</v>
      </c>
      <c r="T155" s="60">
        <f t="shared" si="142"/>
        <v>326.06674572505409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0</v>
      </c>
      <c r="AA155" s="23">
        <f>EXP(-LN(2)/25)*AA154+(1-EXP(-LN(2)/25))/(LN(2)/25)*Calculateur!V155*Calculateur!X155*VLOOKUP('Données projet'!$B$9,Paramètres!$A$1:$I$89,3,0)*0.475*44/12</f>
        <v>0</v>
      </c>
      <c r="AB155" s="23">
        <f>EXP(-LN(2)/2)*AB154+(1-EXP(-LN(2)/2))/(LN(2)/2)*V155*Y155*VLOOKUP('Données projet'!$B$9,Paramètres!$A$1:$I$89,3,0)*0.475*44/12</f>
        <v>0</v>
      </c>
      <c r="AC155" s="24">
        <f t="shared" si="163"/>
        <v>0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-1.1368683772161603E-13</v>
      </c>
      <c r="AJ155" s="14">
        <f>AI155*VLOOKUP('Données projet'!$B$10,Paramètres!$A$1:$I$89,3,0)*VLOOKUP('Données projet'!$B$10,Paramètres!$A$1:$I$89,5,0)</f>
        <v>-9.9316821433603781E-14</v>
      </c>
      <c r="AK155" s="14" t="e">
        <f t="shared" si="164"/>
        <v>#NUM!</v>
      </c>
      <c r="AL155" s="22" t="e">
        <f t="shared" si="165"/>
        <v>#NUM!</v>
      </c>
      <c r="AM155" s="60" t="e">
        <f t="shared" si="113"/>
        <v>#NUM!</v>
      </c>
      <c r="AN155" s="60">
        <f ca="1">AVERAGE(OFFSET($AM$3,0,0,'Données projet'!$E$10+1,1))-AVERAGE(OFFSET($H$3,0,0,'Données projet'!$E$10+1,1))</f>
        <v>274.66236526869056</v>
      </c>
      <c r="AO155" s="60">
        <f t="shared" si="144"/>
        <v>256.90876395053073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>
        <f>EXP(-LN(2)/35)*AU154+(1-EXP(-LN(2)/35))/(LN(2)/35)*AQ155*AR155*VLOOKUP('Données projet'!$B$10,Paramètres!$A$1:$I$89,3,0)*0.475*44/12</f>
        <v>0</v>
      </c>
      <c r="AV155" s="23">
        <f>EXP(-LN(2)/25)*AV154+(1-EXP(-LN(2)/25))/(LN(2)/25)*Calculateur!AQ155*Calculateur!AS155*VLOOKUP('Données projet'!$B$10,Paramètres!$A$1:$I$89,3,0)*0.475*44/12</f>
        <v>0</v>
      </c>
      <c r="AW155" s="23">
        <f>EXP(-LN(2)/2)*AW154+(1-EXP(-LN(2)/2))/(LN(2)/2)*AQ155*AT155*VLOOKUP('Données projet'!$B$10,Paramètres!$A$1:$I$89,3,0)*0.475*44/12</f>
        <v>0</v>
      </c>
      <c r="AX155" s="23">
        <f t="shared" si="166"/>
        <v>0</v>
      </c>
      <c r="AY155" s="76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-1.1368683772161603E-13</v>
      </c>
      <c r="BE155" s="14">
        <f>BD155*VLOOKUP('Données projet'!$B$11,Paramètres!$A$1:$I$89,3,0)*VLOOKUP('Données projet'!$B$11,Paramètres!$A$1:$I$89,5,0)</f>
        <v>-1.0286385077051818E-13</v>
      </c>
      <c r="BF155" s="14" t="e">
        <f t="shared" si="167"/>
        <v>#NUM!</v>
      </c>
      <c r="BG155" s="22" t="e">
        <f t="shared" si="168"/>
        <v>#NUM!</v>
      </c>
      <c r="BH155" s="60" t="e">
        <f t="shared" si="116"/>
        <v>#NUM!</v>
      </c>
      <c r="BI155" s="60">
        <f ca="1">AVERAGE(OFFSET($BH$3,0,0,'Données projet'!$E$11+1,1))-AVERAGE(OFFSET($H$3,0,0,'Données projet'!$E$11+1,1))</f>
        <v>529.25712986118265</v>
      </c>
      <c r="BJ155" s="60">
        <f t="shared" si="146"/>
        <v>278.21741231699929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>
        <f>EXP(-LN(2)/35)*BP154+(1-EXP(-LN(2)/35))/(LN(2)/35)*BL155*BM155*VLOOKUP('Données projet'!$B$11,Paramètres!$A$1:$I$89,3,0)*0.475*44/12</f>
        <v>0</v>
      </c>
      <c r="BQ155" s="23">
        <f>EXP(-LN(2)/25)*BQ154+(1-EXP(-LN(2)/25))/(LN(2)/25)*Calculateur!BL155*Calculateur!BN155*VLOOKUP('Données projet'!$B$11,Paramètres!$A$1:$I$89,3,0)*0.475*44/12</f>
        <v>0</v>
      </c>
      <c r="BR155" s="23">
        <f>EXP(-LN(2)/2)*BR154+(1-EXP(-LN(2)/2))/(LN(2)/2)*BL155*BO155*VLOOKUP('Données projet'!$B$11,Paramètres!$A$1:$I$89,3,0)*0.475*44/12</f>
        <v>0</v>
      </c>
      <c r="BS155" s="24">
        <f t="shared" si="169"/>
        <v>0</v>
      </c>
      <c r="BT155" s="77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-1.1368683772161603E-13</v>
      </c>
      <c r="BZ155" s="14">
        <f>BY155*VLOOKUP('Données projet'!$B$12,Paramètres!$A$1:$I$89,3,0)*VLOOKUP('Données projet'!$B$12,Paramètres!$A$1:$I$89,5,0)</f>
        <v>-1.1527845344971866E-13</v>
      </c>
      <c r="CA155" s="14" t="e">
        <f t="shared" si="170"/>
        <v>#NUM!</v>
      </c>
      <c r="CB155" s="22" t="e">
        <f t="shared" si="171"/>
        <v>#NUM!</v>
      </c>
      <c r="CC155" s="60" t="e">
        <f t="shared" si="119"/>
        <v>#NUM!</v>
      </c>
      <c r="CD155" s="60">
        <f ca="1">AVERAGE(OFFSET($CC$3,0,0,'Données projet'!$E$12+1,1))-AVERAGE(OFFSET($H$3,0,0,'Données projet'!$E$12+1,1))</f>
        <v>587.74247372331615</v>
      </c>
      <c r="CE155" s="60">
        <f t="shared" si="148"/>
        <v>306.61893266146666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>
        <f>EXP(-LN(2)/35)*CK154+(1-EXP(-LN(2)/35))/(LN(2)/35)*CG155*CH155*VLOOKUP('Données projet'!$B$12,Paramètres!$A$1:$I$89,3,0)*0.475*44/12</f>
        <v>0</v>
      </c>
      <c r="CL155" s="23">
        <f>EXP(-LN(2)/25)*CL154+(1-EXP(-LN(2)/25))/(LN(2)/25)*Calculateur!CG155*Calculateur!CI155*VLOOKUP('Données projet'!$B$12,Paramètres!$A$1:$I$89,3,0)*0.475*44/12</f>
        <v>0</v>
      </c>
      <c r="CM155" s="23">
        <f>EXP(-LN(2)/2)*CM154+(1-EXP(-LN(2)/2))/(LN(2)/2)*CG155*CJ155*VLOOKUP('Données projet'!$B$12,Paramètres!$A$1:$I$89,3,0)*0.475*44/12</f>
        <v>0</v>
      </c>
      <c r="CN155" s="24">
        <f t="shared" si="172"/>
        <v>0</v>
      </c>
      <c r="CO155" s="77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-1.1368683772161603E-13</v>
      </c>
      <c r="CU155" s="18">
        <f>CT155*VLOOKUP('Données projet'!$B$13,Paramètres!$A$1:$I$89,3,0)*VLOOKUP('Données projet'!$B$13,Paramètres!$A$1:$I$89,5,0)</f>
        <v>-1.223725121235475E-13</v>
      </c>
      <c r="CV155" s="14" t="e">
        <f t="shared" si="173"/>
        <v>#NUM!</v>
      </c>
      <c r="CW155" s="22" t="e">
        <f t="shared" si="174"/>
        <v>#NUM!</v>
      </c>
      <c r="CX155" s="60" t="e">
        <f t="shared" si="122"/>
        <v>#NUM!</v>
      </c>
      <c r="CY155" s="60">
        <f ca="1">AVERAGE(OFFSET($CX$3,0,0,'Données projet'!$E$13+1,1))-AVERAGE(OFFSET($H$3,0,0,'Données projet'!$E$13+1,1))</f>
        <v>621.10465023992288</v>
      </c>
      <c r="CZ155" s="60">
        <f t="shared" si="150"/>
        <v>322.81767004794284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>
        <f>EXP(-LN(2)/35)*DF154+(1-EXP(-LN(2)/35))/(LN(2)/35)*DB155*DC155*VLOOKUP('Données projet'!$B$13,Paramètres!$A$1:$I$89,3,0)*0.475*44/12</f>
        <v>0</v>
      </c>
      <c r="DG155" s="23">
        <f>EXP(-LN(2)/25)*DG154+(1-EXP(-LN(2)/25))/(LN(2)/25)*Calculateur!DB155*Calculateur!DD155*VLOOKUP('Données projet'!$B$13,Paramètres!$A$1:$I$89,3,0)*0.475*44/12</f>
        <v>0</v>
      </c>
      <c r="DH155" s="23">
        <f>EXP(-LN(2)/2)*DH154+(1-EXP(-LN(2)/2))/(LN(2)/2)*DB155*DE155*VLOOKUP('Données projet'!$B$13,Paramètres!$A$1:$I$89,3,0)*0.475*44/12</f>
        <v>0</v>
      </c>
      <c r="DI155" s="24">
        <f t="shared" si="175"/>
        <v>0</v>
      </c>
      <c r="DJ155" s="77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-1.1368683772161603E-13</v>
      </c>
      <c r="DP155" s="18">
        <f>DO155*VLOOKUP('Données projet'!$B$14,Paramètres!$A$1:$I$89,3,0)*VLOOKUP('Données projet'!$B$14,Paramètres!$A$1:$I$89,5,0)</f>
        <v>-1.0995790944434703E-13</v>
      </c>
      <c r="DQ155" s="14" t="e">
        <f t="shared" si="176"/>
        <v>#NUM!</v>
      </c>
      <c r="DR155" s="22" t="e">
        <f t="shared" si="177"/>
        <v>#NUM!</v>
      </c>
      <c r="DS155" s="60" t="e">
        <f t="shared" si="125"/>
        <v>#NUM!</v>
      </c>
      <c r="DT155" s="60">
        <f ca="1">AVERAGE(OFFSET($DS$3,0,0,'Données projet'!$E$14+1,1))-AVERAGE(OFFSET($H$3,0,0,'Données projet'!$E$14+1,1))</f>
        <v>562.69380557620775</v>
      </c>
      <c r="DU155" s="60">
        <f t="shared" si="152"/>
        <v>294.45557293177131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>
        <f>EXP(-LN(2)/35)*EA154+(1-EXP(-LN(2)/35))/(LN(2)/35)*DW155*DX155*VLOOKUP('Données projet'!$B$14,Paramètres!$A$1:$I$89,3,0)*0.475*44/12</f>
        <v>0</v>
      </c>
      <c r="EB155" s="23">
        <f>EXP(-LN(2)/25)*EB154+(1-EXP(-LN(2)/25))/(LN(2)/25)*Calculateur!DW155*Calculateur!DY155*VLOOKUP('Données projet'!$B$14,Paramètres!$A$1:$I$89,3,0)*0.475*44/12</f>
        <v>0</v>
      </c>
      <c r="EC155" s="23">
        <f>EXP(-LN(2)/2)*EC154+(1-EXP(-LN(2)/2))/(LN(2)/2)*DW155*DZ155*VLOOKUP('Données projet'!$B$14,Paramètres!$A$1:$I$89,3,0)*0.475*44/12</f>
        <v>0</v>
      </c>
      <c r="ED155" s="24">
        <f t="shared" si="178"/>
        <v>0</v>
      </c>
      <c r="EE155" s="77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1.1368683772161603E-13</v>
      </c>
      <c r="EK155" s="18">
        <f>EJ155*VLOOKUP('Données projet'!$B$15,Paramètres!$A$1:$I$89,3,0)*VLOOKUP('Données projet'!$B$15,Paramètres!$A$1:$I$89,5,0)</f>
        <v>8.8675733422860506E-14</v>
      </c>
      <c r="EL155" s="14">
        <f t="shared" si="179"/>
        <v>1.3509285393066301E-12</v>
      </c>
      <c r="EM155" s="22">
        <f t="shared" si="180"/>
        <v>2.5073107750038623E-12</v>
      </c>
      <c r="EN155" s="60">
        <f t="shared" si="128"/>
        <v>293.33333333333582</v>
      </c>
      <c r="EO155" s="60">
        <f ca="1">AVERAGE(OFFSET($EN$3,0,0,'Données projet'!$E$15+1,1))-AVERAGE(OFFSET($H$3,0,0,'Données projet'!$E$15+1,1))</f>
        <v>292.57482726862594</v>
      </c>
      <c r="EP155" s="60">
        <f t="shared" si="154"/>
        <v>283.48738729114024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>
        <f>EXP(-LN(2)/35)*EV154+(1-EXP(-LN(2)/35))/(LN(2)/35)*ER155*ES155*VLOOKUP('Données projet'!$B$15,Paramètres!$A$1:$I$89,3,0)*0.475*44/12</f>
        <v>0</v>
      </c>
      <c r="EW155" s="23">
        <f>EXP(-LN(2)/25)*EW154+(1-EXP(-LN(2)/25))/(LN(2)/25)*Calculateur!ER155*Calculateur!ET155*VLOOKUP('Données projet'!$B$15,Paramètres!$A$1:$I$89,3,0)*0.475*44/12</f>
        <v>0</v>
      </c>
      <c r="EX155" s="23">
        <f>EXP(-LN(2)/2)*EX154+(1-EXP(-LN(2)/2))/(LN(2)/2)*ER155*EU155*VLOOKUP('Données projet'!$B$15,Paramètres!$A$1:$I$89,3,0)*0.475*44/12</f>
        <v>0</v>
      </c>
      <c r="EY155" s="24">
        <f t="shared" si="181"/>
        <v>0</v>
      </c>
      <c r="EZ155" s="77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0" t="e">
        <f t="shared" si="131"/>
        <v>#N/A</v>
      </c>
      <c r="FJ155" s="60" t="e">
        <f ca="1">AVERAGE(OFFSET($FI$3,0,0,'Données projet'!$E$16+1,1))-AVERAGE(OFFSET($H$3,0,0,'Données projet'!$E$16+1,1))</f>
        <v>#N/A</v>
      </c>
      <c r="FK155" s="60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77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0" t="e">
        <f t="shared" si="134"/>
        <v>#N/A</v>
      </c>
      <c r="GE155" s="60" t="e">
        <f ca="1">AVERAGE(OFFSET($GD$3,0,0,'Données projet'!$E$17+1,1))-AVERAGE(OFFSET($H$3,0,0,'Données projet'!$E$17+1,1))</f>
        <v>#N/A</v>
      </c>
      <c r="GF155" s="60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77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0" t="e">
        <f t="shared" si="137"/>
        <v>#N/A</v>
      </c>
      <c r="GZ155" s="60" t="e">
        <f ca="1">AVERAGE(OFFSET($GY$3,0,0,'Données projet'!$E$18+1,1))-AVERAGE(OFFSET($H$3,0,0,'Données projet'!$E$18+1,1))</f>
        <v>#N/A</v>
      </c>
      <c r="HA155" s="60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25">
      <c r="A156" s="11">
        <f t="shared" si="161"/>
        <v>153</v>
      </c>
      <c r="B156" s="74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2">
        <f t="shared" si="140"/>
        <v>0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0</v>
      </c>
      <c r="H156" s="67">
        <f t="shared" si="110"/>
        <v>256.66666666666669</v>
      </c>
      <c r="I156" s="7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1.1368683772161603E-13</v>
      </c>
      <c r="O156" s="14">
        <f>N156*VLOOKUP('Données projet'!$B$9,Paramètres!$A$1:$I$89,3,0)*VLOOKUP('Données projet'!$B$9,Paramètres!$A$1:$I$89,5,0)</f>
        <v>1.0818439477588981E-13</v>
      </c>
      <c r="P156" s="14">
        <f t="shared" si="141"/>
        <v>1.6104228458716316E-12</v>
      </c>
      <c r="Q156" s="22">
        <f t="shared" si="162"/>
        <v>2.9932409441277661E-12</v>
      </c>
      <c r="R156" s="60">
        <f t="shared" si="109"/>
        <v>293.33333333333633</v>
      </c>
      <c r="S156" s="60">
        <f ca="1">AVERAGE(OFFSET($R$3,0,0,'Données projet'!$E$9+1,1))-AVERAGE(OFFSET($H$3,0,0,'Données projet'!$E$9+1,1))</f>
        <v>403.49781966317852</v>
      </c>
      <c r="T156" s="60">
        <f t="shared" si="142"/>
        <v>326.06674572505409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0</v>
      </c>
      <c r="AA156" s="23">
        <f>EXP(-LN(2)/25)*AA155+(1-EXP(-LN(2)/25))/(LN(2)/25)*Calculateur!V156*Calculateur!X156*VLOOKUP('Données projet'!$B$9,Paramètres!$A$1:$I$89,3,0)*0.475*44/12</f>
        <v>0</v>
      </c>
      <c r="AB156" s="23">
        <f>EXP(-LN(2)/2)*AB155+(1-EXP(-LN(2)/2))/(LN(2)/2)*V156*Y156*VLOOKUP('Données projet'!$B$9,Paramètres!$A$1:$I$89,3,0)*0.475*44/12</f>
        <v>0</v>
      </c>
      <c r="AC156" s="24">
        <f t="shared" si="163"/>
        <v>0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-1.1368683772161603E-13</v>
      </c>
      <c r="AJ156" s="14">
        <f>AI156*VLOOKUP('Données projet'!$B$10,Paramètres!$A$1:$I$89,3,0)*VLOOKUP('Données projet'!$B$10,Paramètres!$A$1:$I$89,5,0)</f>
        <v>-9.9316821433603781E-14</v>
      </c>
      <c r="AK156" s="14" t="e">
        <f t="shared" si="164"/>
        <v>#NUM!</v>
      </c>
      <c r="AL156" s="22" t="e">
        <f t="shared" si="165"/>
        <v>#NUM!</v>
      </c>
      <c r="AM156" s="60" t="e">
        <f t="shared" si="113"/>
        <v>#NUM!</v>
      </c>
      <c r="AN156" s="60">
        <f ca="1">AVERAGE(OFFSET($AM$3,0,0,'Données projet'!$E$10+1,1))-AVERAGE(OFFSET($H$3,0,0,'Données projet'!$E$10+1,1))</f>
        <v>274.66236526869056</v>
      </c>
      <c r="AO156" s="60">
        <f t="shared" si="144"/>
        <v>256.90876395053073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>
        <f>EXP(-LN(2)/35)*AU155+(1-EXP(-LN(2)/35))/(LN(2)/35)*AQ156*AR156*VLOOKUP('Données projet'!$B$10,Paramètres!$A$1:$I$89,3,0)*0.475*44/12</f>
        <v>0</v>
      </c>
      <c r="AV156" s="23">
        <f>EXP(-LN(2)/25)*AV155+(1-EXP(-LN(2)/25))/(LN(2)/25)*Calculateur!AQ156*Calculateur!AS156*VLOOKUP('Données projet'!$B$10,Paramètres!$A$1:$I$89,3,0)*0.475*44/12</f>
        <v>0</v>
      </c>
      <c r="AW156" s="23">
        <f>EXP(-LN(2)/2)*AW155+(1-EXP(-LN(2)/2))/(LN(2)/2)*AQ156*AT156*VLOOKUP('Données projet'!$B$10,Paramètres!$A$1:$I$89,3,0)*0.475*44/12</f>
        <v>0</v>
      </c>
      <c r="AX156" s="23">
        <f t="shared" si="166"/>
        <v>0</v>
      </c>
      <c r="AY156" s="76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-1.1368683772161603E-13</v>
      </c>
      <c r="BE156" s="14">
        <f>BD156*VLOOKUP('Données projet'!$B$11,Paramètres!$A$1:$I$89,3,0)*VLOOKUP('Données projet'!$B$11,Paramètres!$A$1:$I$89,5,0)</f>
        <v>-1.0286385077051818E-13</v>
      </c>
      <c r="BF156" s="14" t="e">
        <f t="shared" si="167"/>
        <v>#NUM!</v>
      </c>
      <c r="BG156" s="22" t="e">
        <f t="shared" si="168"/>
        <v>#NUM!</v>
      </c>
      <c r="BH156" s="60" t="e">
        <f t="shared" si="116"/>
        <v>#NUM!</v>
      </c>
      <c r="BI156" s="60">
        <f ca="1">AVERAGE(OFFSET($BH$3,0,0,'Données projet'!$E$11+1,1))-AVERAGE(OFFSET($H$3,0,0,'Données projet'!$E$11+1,1))</f>
        <v>529.25712986118265</v>
      </c>
      <c r="BJ156" s="60">
        <f t="shared" si="146"/>
        <v>278.21741231699929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>
        <f>EXP(-LN(2)/35)*BP155+(1-EXP(-LN(2)/35))/(LN(2)/35)*BL156*BM156*VLOOKUP('Données projet'!$B$11,Paramètres!$A$1:$I$89,3,0)*0.475*44/12</f>
        <v>0</v>
      </c>
      <c r="BQ156" s="23">
        <f>EXP(-LN(2)/25)*BQ155+(1-EXP(-LN(2)/25))/(LN(2)/25)*Calculateur!BL156*Calculateur!BN156*VLOOKUP('Données projet'!$B$11,Paramètres!$A$1:$I$89,3,0)*0.475*44/12</f>
        <v>0</v>
      </c>
      <c r="BR156" s="23">
        <f>EXP(-LN(2)/2)*BR155+(1-EXP(-LN(2)/2))/(LN(2)/2)*BL156*BO156*VLOOKUP('Données projet'!$B$11,Paramètres!$A$1:$I$89,3,0)*0.475*44/12</f>
        <v>0</v>
      </c>
      <c r="BS156" s="24">
        <f t="shared" si="169"/>
        <v>0</v>
      </c>
      <c r="BT156" s="77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-1.1368683772161603E-13</v>
      </c>
      <c r="BZ156" s="14">
        <f>BY156*VLOOKUP('Données projet'!$B$12,Paramètres!$A$1:$I$89,3,0)*VLOOKUP('Données projet'!$B$12,Paramètres!$A$1:$I$89,5,0)</f>
        <v>-1.1527845344971866E-13</v>
      </c>
      <c r="CA156" s="14" t="e">
        <f t="shared" si="170"/>
        <v>#NUM!</v>
      </c>
      <c r="CB156" s="22" t="e">
        <f t="shared" si="171"/>
        <v>#NUM!</v>
      </c>
      <c r="CC156" s="60" t="e">
        <f t="shared" si="119"/>
        <v>#NUM!</v>
      </c>
      <c r="CD156" s="60">
        <f ca="1">AVERAGE(OFFSET($CC$3,0,0,'Données projet'!$E$12+1,1))-AVERAGE(OFFSET($H$3,0,0,'Données projet'!$E$12+1,1))</f>
        <v>587.74247372331615</v>
      </c>
      <c r="CE156" s="60">
        <f t="shared" si="148"/>
        <v>306.61893266146666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>
        <f>EXP(-LN(2)/35)*CK155+(1-EXP(-LN(2)/35))/(LN(2)/35)*CG156*CH156*VLOOKUP('Données projet'!$B$12,Paramètres!$A$1:$I$89,3,0)*0.475*44/12</f>
        <v>0</v>
      </c>
      <c r="CL156" s="23">
        <f>EXP(-LN(2)/25)*CL155+(1-EXP(-LN(2)/25))/(LN(2)/25)*Calculateur!CG156*Calculateur!CI156*VLOOKUP('Données projet'!$B$12,Paramètres!$A$1:$I$89,3,0)*0.475*44/12</f>
        <v>0</v>
      </c>
      <c r="CM156" s="23">
        <f>EXP(-LN(2)/2)*CM155+(1-EXP(-LN(2)/2))/(LN(2)/2)*CG156*CJ156*VLOOKUP('Données projet'!$B$12,Paramètres!$A$1:$I$89,3,0)*0.475*44/12</f>
        <v>0</v>
      </c>
      <c r="CN156" s="24">
        <f t="shared" si="172"/>
        <v>0</v>
      </c>
      <c r="CO156" s="77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-1.1368683772161603E-13</v>
      </c>
      <c r="CU156" s="18">
        <f>CT156*VLOOKUP('Données projet'!$B$13,Paramètres!$A$1:$I$89,3,0)*VLOOKUP('Données projet'!$B$13,Paramètres!$A$1:$I$89,5,0)</f>
        <v>-1.223725121235475E-13</v>
      </c>
      <c r="CV156" s="14" t="e">
        <f t="shared" si="173"/>
        <v>#NUM!</v>
      </c>
      <c r="CW156" s="22" t="e">
        <f t="shared" si="174"/>
        <v>#NUM!</v>
      </c>
      <c r="CX156" s="60" t="e">
        <f t="shared" si="122"/>
        <v>#NUM!</v>
      </c>
      <c r="CY156" s="60">
        <f ca="1">AVERAGE(OFFSET($CX$3,0,0,'Données projet'!$E$13+1,1))-AVERAGE(OFFSET($H$3,0,0,'Données projet'!$E$13+1,1))</f>
        <v>621.10465023992288</v>
      </c>
      <c r="CZ156" s="60">
        <f t="shared" si="150"/>
        <v>322.81767004794284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>
        <f>EXP(-LN(2)/35)*DF155+(1-EXP(-LN(2)/35))/(LN(2)/35)*DB156*DC156*VLOOKUP('Données projet'!$B$13,Paramètres!$A$1:$I$89,3,0)*0.475*44/12</f>
        <v>0</v>
      </c>
      <c r="DG156" s="23">
        <f>EXP(-LN(2)/25)*DG155+(1-EXP(-LN(2)/25))/(LN(2)/25)*Calculateur!DB156*Calculateur!DD156*VLOOKUP('Données projet'!$B$13,Paramètres!$A$1:$I$89,3,0)*0.475*44/12</f>
        <v>0</v>
      </c>
      <c r="DH156" s="23">
        <f>EXP(-LN(2)/2)*DH155+(1-EXP(-LN(2)/2))/(LN(2)/2)*DB156*DE156*VLOOKUP('Données projet'!$B$13,Paramètres!$A$1:$I$89,3,0)*0.475*44/12</f>
        <v>0</v>
      </c>
      <c r="DI156" s="24">
        <f t="shared" si="175"/>
        <v>0</v>
      </c>
      <c r="DJ156" s="77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-1.1368683772161603E-13</v>
      </c>
      <c r="DP156" s="18">
        <f>DO156*VLOOKUP('Données projet'!$B$14,Paramètres!$A$1:$I$89,3,0)*VLOOKUP('Données projet'!$B$14,Paramètres!$A$1:$I$89,5,0)</f>
        <v>-1.0995790944434703E-13</v>
      </c>
      <c r="DQ156" s="14" t="e">
        <f t="shared" si="176"/>
        <v>#NUM!</v>
      </c>
      <c r="DR156" s="22" t="e">
        <f t="shared" si="177"/>
        <v>#NUM!</v>
      </c>
      <c r="DS156" s="60" t="e">
        <f t="shared" si="125"/>
        <v>#NUM!</v>
      </c>
      <c r="DT156" s="60">
        <f ca="1">AVERAGE(OFFSET($DS$3,0,0,'Données projet'!$E$14+1,1))-AVERAGE(OFFSET($H$3,0,0,'Données projet'!$E$14+1,1))</f>
        <v>562.69380557620775</v>
      </c>
      <c r="DU156" s="60">
        <f t="shared" si="152"/>
        <v>294.45557293177131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>
        <f>EXP(-LN(2)/35)*EA155+(1-EXP(-LN(2)/35))/(LN(2)/35)*DW156*DX156*VLOOKUP('Données projet'!$B$14,Paramètres!$A$1:$I$89,3,0)*0.475*44/12</f>
        <v>0</v>
      </c>
      <c r="EB156" s="23">
        <f>EXP(-LN(2)/25)*EB155+(1-EXP(-LN(2)/25))/(LN(2)/25)*Calculateur!DW156*Calculateur!DY156*VLOOKUP('Données projet'!$B$14,Paramètres!$A$1:$I$89,3,0)*0.475*44/12</f>
        <v>0</v>
      </c>
      <c r="EC156" s="23">
        <f>EXP(-LN(2)/2)*EC155+(1-EXP(-LN(2)/2))/(LN(2)/2)*DW156*DZ156*VLOOKUP('Données projet'!$B$14,Paramètres!$A$1:$I$89,3,0)*0.475*44/12</f>
        <v>0</v>
      </c>
      <c r="ED156" s="24">
        <f t="shared" si="178"/>
        <v>0</v>
      </c>
      <c r="EE156" s="77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1.1368683772161603E-13</v>
      </c>
      <c r="EK156" s="18">
        <f>EJ156*VLOOKUP('Données projet'!$B$15,Paramètres!$A$1:$I$89,3,0)*VLOOKUP('Données projet'!$B$15,Paramètres!$A$1:$I$89,5,0)</f>
        <v>8.8675733422860506E-14</v>
      </c>
      <c r="EL156" s="14">
        <f t="shared" si="179"/>
        <v>1.3509285393066301E-12</v>
      </c>
      <c r="EM156" s="22">
        <f t="shared" si="180"/>
        <v>2.5073107750038623E-12</v>
      </c>
      <c r="EN156" s="60">
        <f t="shared" si="128"/>
        <v>293.33333333333582</v>
      </c>
      <c r="EO156" s="60">
        <f ca="1">AVERAGE(OFFSET($EN$3,0,0,'Données projet'!$E$15+1,1))-AVERAGE(OFFSET($H$3,0,0,'Données projet'!$E$15+1,1))</f>
        <v>292.57482726862594</v>
      </c>
      <c r="EP156" s="60">
        <f t="shared" si="154"/>
        <v>283.48738729114024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>
        <f>EXP(-LN(2)/35)*EV155+(1-EXP(-LN(2)/35))/(LN(2)/35)*ER156*ES156*VLOOKUP('Données projet'!$B$15,Paramètres!$A$1:$I$89,3,0)*0.475*44/12</f>
        <v>0</v>
      </c>
      <c r="EW156" s="23">
        <f>EXP(-LN(2)/25)*EW155+(1-EXP(-LN(2)/25))/(LN(2)/25)*Calculateur!ER156*Calculateur!ET156*VLOOKUP('Données projet'!$B$15,Paramètres!$A$1:$I$89,3,0)*0.475*44/12</f>
        <v>0</v>
      </c>
      <c r="EX156" s="23">
        <f>EXP(-LN(2)/2)*EX155+(1-EXP(-LN(2)/2))/(LN(2)/2)*ER156*EU156*VLOOKUP('Données projet'!$B$15,Paramètres!$A$1:$I$89,3,0)*0.475*44/12</f>
        <v>0</v>
      </c>
      <c r="EY156" s="24">
        <f t="shared" si="181"/>
        <v>0</v>
      </c>
      <c r="EZ156" s="77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0" t="e">
        <f t="shared" si="131"/>
        <v>#N/A</v>
      </c>
      <c r="FJ156" s="60" t="e">
        <f ca="1">AVERAGE(OFFSET($FI$3,0,0,'Données projet'!$E$16+1,1))-AVERAGE(OFFSET($H$3,0,0,'Données projet'!$E$16+1,1))</f>
        <v>#N/A</v>
      </c>
      <c r="FK156" s="60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77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0" t="e">
        <f t="shared" si="134"/>
        <v>#N/A</v>
      </c>
      <c r="GE156" s="60" t="e">
        <f ca="1">AVERAGE(OFFSET($GD$3,0,0,'Données projet'!$E$17+1,1))-AVERAGE(OFFSET($H$3,0,0,'Données projet'!$E$17+1,1))</f>
        <v>#N/A</v>
      </c>
      <c r="GF156" s="60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77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0" t="e">
        <f t="shared" si="137"/>
        <v>#N/A</v>
      </c>
      <c r="GZ156" s="60" t="e">
        <f ca="1">AVERAGE(OFFSET($GY$3,0,0,'Données projet'!$E$18+1,1))-AVERAGE(OFFSET($H$3,0,0,'Données projet'!$E$18+1,1))</f>
        <v>#N/A</v>
      </c>
      <c r="HA156" s="60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25">
      <c r="A157" s="11">
        <f t="shared" si="161"/>
        <v>154</v>
      </c>
      <c r="B157" s="74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2">
        <f t="shared" si="140"/>
        <v>0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0</v>
      </c>
      <c r="H157" s="67">
        <f t="shared" si="110"/>
        <v>256.66666666666669</v>
      </c>
      <c r="I157" s="7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1.1368683772161603E-13</v>
      </c>
      <c r="O157" s="14">
        <f>N157*VLOOKUP('Données projet'!$B$9,Paramètres!$A$1:$I$89,3,0)*VLOOKUP('Données projet'!$B$9,Paramètres!$A$1:$I$89,5,0)</f>
        <v>1.0818439477588981E-13</v>
      </c>
      <c r="P157" s="14">
        <f t="shared" si="141"/>
        <v>1.6104228458716316E-12</v>
      </c>
      <c r="Q157" s="22">
        <f t="shared" si="162"/>
        <v>2.9932409441277661E-12</v>
      </c>
      <c r="R157" s="60">
        <f t="shared" si="109"/>
        <v>293.33333333333633</v>
      </c>
      <c r="S157" s="60">
        <f ca="1">AVERAGE(OFFSET($R$3,0,0,'Données projet'!$E$9+1,1))-AVERAGE(OFFSET($H$3,0,0,'Données projet'!$E$9+1,1))</f>
        <v>403.49781966317852</v>
      </c>
      <c r="T157" s="60">
        <f t="shared" si="142"/>
        <v>326.06674572505409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0</v>
      </c>
      <c r="AA157" s="23">
        <f>EXP(-LN(2)/25)*AA156+(1-EXP(-LN(2)/25))/(LN(2)/25)*Calculateur!V157*Calculateur!X157*VLOOKUP('Données projet'!$B$9,Paramètres!$A$1:$I$89,3,0)*0.475*44/12</f>
        <v>0</v>
      </c>
      <c r="AB157" s="23">
        <f>EXP(-LN(2)/2)*AB156+(1-EXP(-LN(2)/2))/(LN(2)/2)*V157*Y157*VLOOKUP('Données projet'!$B$9,Paramètres!$A$1:$I$89,3,0)*0.475*44/12</f>
        <v>0</v>
      </c>
      <c r="AC157" s="24">
        <f t="shared" si="163"/>
        <v>0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-1.1368683772161603E-13</v>
      </c>
      <c r="AJ157" s="14">
        <f>AI157*VLOOKUP('Données projet'!$B$10,Paramètres!$A$1:$I$89,3,0)*VLOOKUP('Données projet'!$B$10,Paramètres!$A$1:$I$89,5,0)</f>
        <v>-9.9316821433603781E-14</v>
      </c>
      <c r="AK157" s="14" t="e">
        <f t="shared" si="164"/>
        <v>#NUM!</v>
      </c>
      <c r="AL157" s="22" t="e">
        <f t="shared" si="165"/>
        <v>#NUM!</v>
      </c>
      <c r="AM157" s="60" t="e">
        <f t="shared" si="113"/>
        <v>#NUM!</v>
      </c>
      <c r="AN157" s="60">
        <f ca="1">AVERAGE(OFFSET($AM$3,0,0,'Données projet'!$E$10+1,1))-AVERAGE(OFFSET($H$3,0,0,'Données projet'!$E$10+1,1))</f>
        <v>274.66236526869056</v>
      </c>
      <c r="AO157" s="60">
        <f t="shared" si="144"/>
        <v>256.90876395053073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>
        <f>EXP(-LN(2)/35)*AU156+(1-EXP(-LN(2)/35))/(LN(2)/35)*AQ157*AR157*VLOOKUP('Données projet'!$B$10,Paramètres!$A$1:$I$89,3,0)*0.475*44/12</f>
        <v>0</v>
      </c>
      <c r="AV157" s="23">
        <f>EXP(-LN(2)/25)*AV156+(1-EXP(-LN(2)/25))/(LN(2)/25)*Calculateur!AQ157*Calculateur!AS157*VLOOKUP('Données projet'!$B$10,Paramètres!$A$1:$I$89,3,0)*0.475*44/12</f>
        <v>0</v>
      </c>
      <c r="AW157" s="23">
        <f>EXP(-LN(2)/2)*AW156+(1-EXP(-LN(2)/2))/(LN(2)/2)*AQ157*AT157*VLOOKUP('Données projet'!$B$10,Paramètres!$A$1:$I$89,3,0)*0.475*44/12</f>
        <v>0</v>
      </c>
      <c r="AX157" s="23">
        <f t="shared" si="166"/>
        <v>0</v>
      </c>
      <c r="AY157" s="76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-1.1368683772161603E-13</v>
      </c>
      <c r="BE157" s="14">
        <f>BD157*VLOOKUP('Données projet'!$B$11,Paramètres!$A$1:$I$89,3,0)*VLOOKUP('Données projet'!$B$11,Paramètres!$A$1:$I$89,5,0)</f>
        <v>-1.0286385077051818E-13</v>
      </c>
      <c r="BF157" s="14" t="e">
        <f t="shared" si="167"/>
        <v>#NUM!</v>
      </c>
      <c r="BG157" s="22" t="e">
        <f t="shared" si="168"/>
        <v>#NUM!</v>
      </c>
      <c r="BH157" s="60" t="e">
        <f t="shared" si="116"/>
        <v>#NUM!</v>
      </c>
      <c r="BI157" s="60">
        <f ca="1">AVERAGE(OFFSET($BH$3,0,0,'Données projet'!$E$11+1,1))-AVERAGE(OFFSET($H$3,0,0,'Données projet'!$E$11+1,1))</f>
        <v>529.25712986118265</v>
      </c>
      <c r="BJ157" s="60">
        <f t="shared" si="146"/>
        <v>278.21741231699929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>
        <f>EXP(-LN(2)/35)*BP156+(1-EXP(-LN(2)/35))/(LN(2)/35)*BL157*BM157*VLOOKUP('Données projet'!$B$11,Paramètres!$A$1:$I$89,3,0)*0.475*44/12</f>
        <v>0</v>
      </c>
      <c r="BQ157" s="23">
        <f>EXP(-LN(2)/25)*BQ156+(1-EXP(-LN(2)/25))/(LN(2)/25)*Calculateur!BL157*Calculateur!BN157*VLOOKUP('Données projet'!$B$11,Paramètres!$A$1:$I$89,3,0)*0.475*44/12</f>
        <v>0</v>
      </c>
      <c r="BR157" s="23">
        <f>EXP(-LN(2)/2)*BR156+(1-EXP(-LN(2)/2))/(LN(2)/2)*BL157*BO157*VLOOKUP('Données projet'!$B$11,Paramètres!$A$1:$I$89,3,0)*0.475*44/12</f>
        <v>0</v>
      </c>
      <c r="BS157" s="24">
        <f t="shared" si="169"/>
        <v>0</v>
      </c>
      <c r="BT157" s="77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-1.1368683772161603E-13</v>
      </c>
      <c r="BZ157" s="14">
        <f>BY157*VLOOKUP('Données projet'!$B$12,Paramètres!$A$1:$I$89,3,0)*VLOOKUP('Données projet'!$B$12,Paramètres!$A$1:$I$89,5,0)</f>
        <v>-1.1527845344971866E-13</v>
      </c>
      <c r="CA157" s="14" t="e">
        <f t="shared" si="170"/>
        <v>#NUM!</v>
      </c>
      <c r="CB157" s="22" t="e">
        <f t="shared" si="171"/>
        <v>#NUM!</v>
      </c>
      <c r="CC157" s="60" t="e">
        <f t="shared" si="119"/>
        <v>#NUM!</v>
      </c>
      <c r="CD157" s="60">
        <f ca="1">AVERAGE(OFFSET($CC$3,0,0,'Données projet'!$E$12+1,1))-AVERAGE(OFFSET($H$3,0,0,'Données projet'!$E$12+1,1))</f>
        <v>587.74247372331615</v>
      </c>
      <c r="CE157" s="60">
        <f t="shared" si="148"/>
        <v>306.61893266146666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>
        <f>EXP(-LN(2)/35)*CK156+(1-EXP(-LN(2)/35))/(LN(2)/35)*CG157*CH157*VLOOKUP('Données projet'!$B$12,Paramètres!$A$1:$I$89,3,0)*0.475*44/12</f>
        <v>0</v>
      </c>
      <c r="CL157" s="23">
        <f>EXP(-LN(2)/25)*CL156+(1-EXP(-LN(2)/25))/(LN(2)/25)*Calculateur!CG157*Calculateur!CI157*VLOOKUP('Données projet'!$B$12,Paramètres!$A$1:$I$89,3,0)*0.475*44/12</f>
        <v>0</v>
      </c>
      <c r="CM157" s="23">
        <f>EXP(-LN(2)/2)*CM156+(1-EXP(-LN(2)/2))/(LN(2)/2)*CG157*CJ157*VLOOKUP('Données projet'!$B$12,Paramètres!$A$1:$I$89,3,0)*0.475*44/12</f>
        <v>0</v>
      </c>
      <c r="CN157" s="24">
        <f t="shared" si="172"/>
        <v>0</v>
      </c>
      <c r="CO157" s="77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-1.1368683772161603E-13</v>
      </c>
      <c r="CU157" s="18">
        <f>CT157*VLOOKUP('Données projet'!$B$13,Paramètres!$A$1:$I$89,3,0)*VLOOKUP('Données projet'!$B$13,Paramètres!$A$1:$I$89,5,0)</f>
        <v>-1.223725121235475E-13</v>
      </c>
      <c r="CV157" s="14" t="e">
        <f t="shared" si="173"/>
        <v>#NUM!</v>
      </c>
      <c r="CW157" s="22" t="e">
        <f t="shared" si="174"/>
        <v>#NUM!</v>
      </c>
      <c r="CX157" s="60" t="e">
        <f t="shared" si="122"/>
        <v>#NUM!</v>
      </c>
      <c r="CY157" s="60">
        <f ca="1">AVERAGE(OFFSET($CX$3,0,0,'Données projet'!$E$13+1,1))-AVERAGE(OFFSET($H$3,0,0,'Données projet'!$E$13+1,1))</f>
        <v>621.10465023992288</v>
      </c>
      <c r="CZ157" s="60">
        <f t="shared" si="150"/>
        <v>322.81767004794284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>
        <f>EXP(-LN(2)/35)*DF156+(1-EXP(-LN(2)/35))/(LN(2)/35)*DB157*DC157*VLOOKUP('Données projet'!$B$13,Paramètres!$A$1:$I$89,3,0)*0.475*44/12</f>
        <v>0</v>
      </c>
      <c r="DG157" s="23">
        <f>EXP(-LN(2)/25)*DG156+(1-EXP(-LN(2)/25))/(LN(2)/25)*Calculateur!DB157*Calculateur!DD157*VLOOKUP('Données projet'!$B$13,Paramètres!$A$1:$I$89,3,0)*0.475*44/12</f>
        <v>0</v>
      </c>
      <c r="DH157" s="23">
        <f>EXP(-LN(2)/2)*DH156+(1-EXP(-LN(2)/2))/(LN(2)/2)*DB157*DE157*VLOOKUP('Données projet'!$B$13,Paramètres!$A$1:$I$89,3,0)*0.475*44/12</f>
        <v>0</v>
      </c>
      <c r="DI157" s="24">
        <f t="shared" si="175"/>
        <v>0</v>
      </c>
      <c r="DJ157" s="77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-1.1368683772161603E-13</v>
      </c>
      <c r="DP157" s="18">
        <f>DO157*VLOOKUP('Données projet'!$B$14,Paramètres!$A$1:$I$89,3,0)*VLOOKUP('Données projet'!$B$14,Paramètres!$A$1:$I$89,5,0)</f>
        <v>-1.0995790944434703E-13</v>
      </c>
      <c r="DQ157" s="14" t="e">
        <f t="shared" si="176"/>
        <v>#NUM!</v>
      </c>
      <c r="DR157" s="22" t="e">
        <f t="shared" si="177"/>
        <v>#NUM!</v>
      </c>
      <c r="DS157" s="60" t="e">
        <f t="shared" si="125"/>
        <v>#NUM!</v>
      </c>
      <c r="DT157" s="60">
        <f ca="1">AVERAGE(OFFSET($DS$3,0,0,'Données projet'!$E$14+1,1))-AVERAGE(OFFSET($H$3,0,0,'Données projet'!$E$14+1,1))</f>
        <v>562.69380557620775</v>
      </c>
      <c r="DU157" s="60">
        <f t="shared" si="152"/>
        <v>294.45557293177131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>
        <f>EXP(-LN(2)/35)*EA156+(1-EXP(-LN(2)/35))/(LN(2)/35)*DW157*DX157*VLOOKUP('Données projet'!$B$14,Paramètres!$A$1:$I$89,3,0)*0.475*44/12</f>
        <v>0</v>
      </c>
      <c r="EB157" s="23">
        <f>EXP(-LN(2)/25)*EB156+(1-EXP(-LN(2)/25))/(LN(2)/25)*Calculateur!DW157*Calculateur!DY157*VLOOKUP('Données projet'!$B$14,Paramètres!$A$1:$I$89,3,0)*0.475*44/12</f>
        <v>0</v>
      </c>
      <c r="EC157" s="23">
        <f>EXP(-LN(2)/2)*EC156+(1-EXP(-LN(2)/2))/(LN(2)/2)*DW157*DZ157*VLOOKUP('Données projet'!$B$14,Paramètres!$A$1:$I$89,3,0)*0.475*44/12</f>
        <v>0</v>
      </c>
      <c r="ED157" s="24">
        <f t="shared" si="178"/>
        <v>0</v>
      </c>
      <c r="EE157" s="77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1.1368683772161603E-13</v>
      </c>
      <c r="EK157" s="18">
        <f>EJ157*VLOOKUP('Données projet'!$B$15,Paramètres!$A$1:$I$89,3,0)*VLOOKUP('Données projet'!$B$15,Paramètres!$A$1:$I$89,5,0)</f>
        <v>8.8675733422860506E-14</v>
      </c>
      <c r="EL157" s="14">
        <f t="shared" si="179"/>
        <v>1.3509285393066301E-12</v>
      </c>
      <c r="EM157" s="22">
        <f t="shared" si="180"/>
        <v>2.5073107750038623E-12</v>
      </c>
      <c r="EN157" s="60">
        <f t="shared" si="128"/>
        <v>293.33333333333582</v>
      </c>
      <c r="EO157" s="60">
        <f ca="1">AVERAGE(OFFSET($EN$3,0,0,'Données projet'!$E$15+1,1))-AVERAGE(OFFSET($H$3,0,0,'Données projet'!$E$15+1,1))</f>
        <v>292.57482726862594</v>
      </c>
      <c r="EP157" s="60">
        <f t="shared" si="154"/>
        <v>283.48738729114024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>
        <f>EXP(-LN(2)/35)*EV156+(1-EXP(-LN(2)/35))/(LN(2)/35)*ER157*ES157*VLOOKUP('Données projet'!$B$15,Paramètres!$A$1:$I$89,3,0)*0.475*44/12</f>
        <v>0</v>
      </c>
      <c r="EW157" s="23">
        <f>EXP(-LN(2)/25)*EW156+(1-EXP(-LN(2)/25))/(LN(2)/25)*Calculateur!ER157*Calculateur!ET157*VLOOKUP('Données projet'!$B$15,Paramètres!$A$1:$I$89,3,0)*0.475*44/12</f>
        <v>0</v>
      </c>
      <c r="EX157" s="23">
        <f>EXP(-LN(2)/2)*EX156+(1-EXP(-LN(2)/2))/(LN(2)/2)*ER157*EU157*VLOOKUP('Données projet'!$B$15,Paramètres!$A$1:$I$89,3,0)*0.475*44/12</f>
        <v>0</v>
      </c>
      <c r="EY157" s="24">
        <f t="shared" si="181"/>
        <v>0</v>
      </c>
      <c r="EZ157" s="77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0" t="e">
        <f t="shared" si="131"/>
        <v>#N/A</v>
      </c>
      <c r="FJ157" s="60" t="e">
        <f ca="1">AVERAGE(OFFSET($FI$3,0,0,'Données projet'!$E$16+1,1))-AVERAGE(OFFSET($H$3,0,0,'Données projet'!$E$16+1,1))</f>
        <v>#N/A</v>
      </c>
      <c r="FK157" s="60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77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0" t="e">
        <f t="shared" si="134"/>
        <v>#N/A</v>
      </c>
      <c r="GE157" s="60" t="e">
        <f ca="1">AVERAGE(OFFSET($GD$3,0,0,'Données projet'!$E$17+1,1))-AVERAGE(OFFSET($H$3,0,0,'Données projet'!$E$17+1,1))</f>
        <v>#N/A</v>
      </c>
      <c r="GF157" s="60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77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0" t="e">
        <f t="shared" si="137"/>
        <v>#N/A</v>
      </c>
      <c r="GZ157" s="60" t="e">
        <f ca="1">AVERAGE(OFFSET($GY$3,0,0,'Données projet'!$E$18+1,1))-AVERAGE(OFFSET($H$3,0,0,'Données projet'!$E$18+1,1))</f>
        <v>#N/A</v>
      </c>
      <c r="HA157" s="60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25">
      <c r="A158" s="11">
        <f t="shared" si="161"/>
        <v>155</v>
      </c>
      <c r="B158" s="74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2">
        <f t="shared" si="140"/>
        <v>0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0</v>
      </c>
      <c r="H158" s="67">
        <f t="shared" si="110"/>
        <v>256.66666666666669</v>
      </c>
      <c r="I158" s="7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1.1368683772161603E-13</v>
      </c>
      <c r="O158" s="14">
        <f>N158*VLOOKUP('Données projet'!$B$9,Paramètres!$A$1:$I$89,3,0)*VLOOKUP('Données projet'!$B$9,Paramètres!$A$1:$I$89,5,0)</f>
        <v>1.0818439477588981E-13</v>
      </c>
      <c r="P158" s="14">
        <f t="shared" si="141"/>
        <v>1.6104228458716316E-12</v>
      </c>
      <c r="Q158" s="22">
        <f t="shared" si="162"/>
        <v>2.9932409441277661E-12</v>
      </c>
      <c r="R158" s="60">
        <f t="shared" si="109"/>
        <v>293.33333333333633</v>
      </c>
      <c r="S158" s="60">
        <f ca="1">AVERAGE(OFFSET($R$3,0,0,'Données projet'!$E$9+1,1))-AVERAGE(OFFSET($H$3,0,0,'Données projet'!$E$9+1,1))</f>
        <v>403.49781966317852</v>
      </c>
      <c r="T158" s="60">
        <f t="shared" si="142"/>
        <v>326.06674572505409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0</v>
      </c>
      <c r="AA158" s="23">
        <f>EXP(-LN(2)/25)*AA157+(1-EXP(-LN(2)/25))/(LN(2)/25)*Calculateur!V158*Calculateur!X158*VLOOKUP('Données projet'!$B$9,Paramètres!$A$1:$I$89,3,0)*0.475*44/12</f>
        <v>0</v>
      </c>
      <c r="AB158" s="23">
        <f>EXP(-LN(2)/2)*AB157+(1-EXP(-LN(2)/2))/(LN(2)/2)*V158*Y158*VLOOKUP('Données projet'!$B$9,Paramètres!$A$1:$I$89,3,0)*0.475*44/12</f>
        <v>0</v>
      </c>
      <c r="AC158" s="24">
        <f t="shared" si="163"/>
        <v>0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-1.1368683772161603E-13</v>
      </c>
      <c r="AJ158" s="14">
        <f>AI158*VLOOKUP('Données projet'!$B$10,Paramètres!$A$1:$I$89,3,0)*VLOOKUP('Données projet'!$B$10,Paramètres!$A$1:$I$89,5,0)</f>
        <v>-9.9316821433603781E-14</v>
      </c>
      <c r="AK158" s="14" t="e">
        <f t="shared" si="164"/>
        <v>#NUM!</v>
      </c>
      <c r="AL158" s="22" t="e">
        <f t="shared" si="165"/>
        <v>#NUM!</v>
      </c>
      <c r="AM158" s="60" t="e">
        <f t="shared" si="113"/>
        <v>#NUM!</v>
      </c>
      <c r="AN158" s="60">
        <f ca="1">AVERAGE(OFFSET($AM$3,0,0,'Données projet'!$E$10+1,1))-AVERAGE(OFFSET($H$3,0,0,'Données projet'!$E$10+1,1))</f>
        <v>274.66236526869056</v>
      </c>
      <c r="AO158" s="60">
        <f t="shared" si="144"/>
        <v>256.90876395053073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>
        <f>EXP(-LN(2)/35)*AU157+(1-EXP(-LN(2)/35))/(LN(2)/35)*AQ158*AR158*VLOOKUP('Données projet'!$B$10,Paramètres!$A$1:$I$89,3,0)*0.475*44/12</f>
        <v>0</v>
      </c>
      <c r="AV158" s="23">
        <f>EXP(-LN(2)/25)*AV157+(1-EXP(-LN(2)/25))/(LN(2)/25)*Calculateur!AQ158*Calculateur!AS158*VLOOKUP('Données projet'!$B$10,Paramètres!$A$1:$I$89,3,0)*0.475*44/12</f>
        <v>0</v>
      </c>
      <c r="AW158" s="23">
        <f>EXP(-LN(2)/2)*AW157+(1-EXP(-LN(2)/2))/(LN(2)/2)*AQ158*AT158*VLOOKUP('Données projet'!$B$10,Paramètres!$A$1:$I$89,3,0)*0.475*44/12</f>
        <v>0</v>
      </c>
      <c r="AX158" s="23">
        <f t="shared" si="166"/>
        <v>0</v>
      </c>
      <c r="AY158" s="76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-1.1368683772161603E-13</v>
      </c>
      <c r="BE158" s="14">
        <f>BD158*VLOOKUP('Données projet'!$B$11,Paramètres!$A$1:$I$89,3,0)*VLOOKUP('Données projet'!$B$11,Paramètres!$A$1:$I$89,5,0)</f>
        <v>-1.0286385077051818E-13</v>
      </c>
      <c r="BF158" s="14" t="e">
        <f t="shared" si="167"/>
        <v>#NUM!</v>
      </c>
      <c r="BG158" s="22" t="e">
        <f t="shared" si="168"/>
        <v>#NUM!</v>
      </c>
      <c r="BH158" s="60" t="e">
        <f t="shared" si="116"/>
        <v>#NUM!</v>
      </c>
      <c r="BI158" s="60">
        <f ca="1">AVERAGE(OFFSET($BH$3,0,0,'Données projet'!$E$11+1,1))-AVERAGE(OFFSET($H$3,0,0,'Données projet'!$E$11+1,1))</f>
        <v>529.25712986118265</v>
      </c>
      <c r="BJ158" s="60">
        <f t="shared" si="146"/>
        <v>278.21741231699929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>
        <f>EXP(-LN(2)/35)*BP157+(1-EXP(-LN(2)/35))/(LN(2)/35)*BL158*BM158*VLOOKUP('Données projet'!$B$11,Paramètres!$A$1:$I$89,3,0)*0.475*44/12</f>
        <v>0</v>
      </c>
      <c r="BQ158" s="23">
        <f>EXP(-LN(2)/25)*BQ157+(1-EXP(-LN(2)/25))/(LN(2)/25)*Calculateur!BL158*Calculateur!BN158*VLOOKUP('Données projet'!$B$11,Paramètres!$A$1:$I$89,3,0)*0.475*44/12</f>
        <v>0</v>
      </c>
      <c r="BR158" s="23">
        <f>EXP(-LN(2)/2)*BR157+(1-EXP(-LN(2)/2))/(LN(2)/2)*BL158*BO158*VLOOKUP('Données projet'!$B$11,Paramètres!$A$1:$I$89,3,0)*0.475*44/12</f>
        <v>0</v>
      </c>
      <c r="BS158" s="24">
        <f t="shared" si="169"/>
        <v>0</v>
      </c>
      <c r="BT158" s="77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-1.1368683772161603E-13</v>
      </c>
      <c r="BZ158" s="14">
        <f>BY158*VLOOKUP('Données projet'!$B$12,Paramètres!$A$1:$I$89,3,0)*VLOOKUP('Données projet'!$B$12,Paramètres!$A$1:$I$89,5,0)</f>
        <v>-1.1527845344971866E-13</v>
      </c>
      <c r="CA158" s="14" t="e">
        <f t="shared" si="170"/>
        <v>#NUM!</v>
      </c>
      <c r="CB158" s="22" t="e">
        <f t="shared" si="171"/>
        <v>#NUM!</v>
      </c>
      <c r="CC158" s="60" t="e">
        <f t="shared" si="119"/>
        <v>#NUM!</v>
      </c>
      <c r="CD158" s="60">
        <f ca="1">AVERAGE(OFFSET($CC$3,0,0,'Données projet'!$E$12+1,1))-AVERAGE(OFFSET($H$3,0,0,'Données projet'!$E$12+1,1))</f>
        <v>587.74247372331615</v>
      </c>
      <c r="CE158" s="60">
        <f t="shared" si="148"/>
        <v>306.61893266146666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>
        <f>EXP(-LN(2)/35)*CK157+(1-EXP(-LN(2)/35))/(LN(2)/35)*CG158*CH158*VLOOKUP('Données projet'!$B$12,Paramètres!$A$1:$I$89,3,0)*0.475*44/12</f>
        <v>0</v>
      </c>
      <c r="CL158" s="23">
        <f>EXP(-LN(2)/25)*CL157+(1-EXP(-LN(2)/25))/(LN(2)/25)*Calculateur!CG158*Calculateur!CI158*VLOOKUP('Données projet'!$B$12,Paramètres!$A$1:$I$89,3,0)*0.475*44/12</f>
        <v>0</v>
      </c>
      <c r="CM158" s="23">
        <f>EXP(-LN(2)/2)*CM157+(1-EXP(-LN(2)/2))/(LN(2)/2)*CG158*CJ158*VLOOKUP('Données projet'!$B$12,Paramètres!$A$1:$I$89,3,0)*0.475*44/12</f>
        <v>0</v>
      </c>
      <c r="CN158" s="24">
        <f t="shared" si="172"/>
        <v>0</v>
      </c>
      <c r="CO158" s="77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-1.1368683772161603E-13</v>
      </c>
      <c r="CU158" s="18">
        <f>CT158*VLOOKUP('Données projet'!$B$13,Paramètres!$A$1:$I$89,3,0)*VLOOKUP('Données projet'!$B$13,Paramètres!$A$1:$I$89,5,0)</f>
        <v>-1.223725121235475E-13</v>
      </c>
      <c r="CV158" s="14" t="e">
        <f t="shared" si="173"/>
        <v>#NUM!</v>
      </c>
      <c r="CW158" s="22" t="e">
        <f t="shared" si="174"/>
        <v>#NUM!</v>
      </c>
      <c r="CX158" s="60" t="e">
        <f t="shared" si="122"/>
        <v>#NUM!</v>
      </c>
      <c r="CY158" s="60">
        <f ca="1">AVERAGE(OFFSET($CX$3,0,0,'Données projet'!$E$13+1,1))-AVERAGE(OFFSET($H$3,0,0,'Données projet'!$E$13+1,1))</f>
        <v>621.10465023992288</v>
      </c>
      <c r="CZ158" s="60">
        <f t="shared" si="150"/>
        <v>322.81767004794284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>
        <f>EXP(-LN(2)/35)*DF157+(1-EXP(-LN(2)/35))/(LN(2)/35)*DB158*DC158*VLOOKUP('Données projet'!$B$13,Paramètres!$A$1:$I$89,3,0)*0.475*44/12</f>
        <v>0</v>
      </c>
      <c r="DG158" s="23">
        <f>EXP(-LN(2)/25)*DG157+(1-EXP(-LN(2)/25))/(LN(2)/25)*Calculateur!DB158*Calculateur!DD158*VLOOKUP('Données projet'!$B$13,Paramètres!$A$1:$I$89,3,0)*0.475*44/12</f>
        <v>0</v>
      </c>
      <c r="DH158" s="23">
        <f>EXP(-LN(2)/2)*DH157+(1-EXP(-LN(2)/2))/(LN(2)/2)*DB158*DE158*VLOOKUP('Données projet'!$B$13,Paramètres!$A$1:$I$89,3,0)*0.475*44/12</f>
        <v>0</v>
      </c>
      <c r="DI158" s="24">
        <f t="shared" si="175"/>
        <v>0</v>
      </c>
      <c r="DJ158" s="77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-1.1368683772161603E-13</v>
      </c>
      <c r="DP158" s="18">
        <f>DO158*VLOOKUP('Données projet'!$B$14,Paramètres!$A$1:$I$89,3,0)*VLOOKUP('Données projet'!$B$14,Paramètres!$A$1:$I$89,5,0)</f>
        <v>-1.0995790944434703E-13</v>
      </c>
      <c r="DQ158" s="14" t="e">
        <f t="shared" si="176"/>
        <v>#NUM!</v>
      </c>
      <c r="DR158" s="22" t="e">
        <f t="shared" si="177"/>
        <v>#NUM!</v>
      </c>
      <c r="DS158" s="60" t="e">
        <f t="shared" si="125"/>
        <v>#NUM!</v>
      </c>
      <c r="DT158" s="60">
        <f ca="1">AVERAGE(OFFSET($DS$3,0,0,'Données projet'!$E$14+1,1))-AVERAGE(OFFSET($H$3,0,0,'Données projet'!$E$14+1,1))</f>
        <v>562.69380557620775</v>
      </c>
      <c r="DU158" s="60">
        <f t="shared" si="152"/>
        <v>294.45557293177131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>
        <f>EXP(-LN(2)/35)*EA157+(1-EXP(-LN(2)/35))/(LN(2)/35)*DW158*DX158*VLOOKUP('Données projet'!$B$14,Paramètres!$A$1:$I$89,3,0)*0.475*44/12</f>
        <v>0</v>
      </c>
      <c r="EB158" s="23">
        <f>EXP(-LN(2)/25)*EB157+(1-EXP(-LN(2)/25))/(LN(2)/25)*Calculateur!DW158*Calculateur!DY158*VLOOKUP('Données projet'!$B$14,Paramètres!$A$1:$I$89,3,0)*0.475*44/12</f>
        <v>0</v>
      </c>
      <c r="EC158" s="23">
        <f>EXP(-LN(2)/2)*EC157+(1-EXP(-LN(2)/2))/(LN(2)/2)*DW158*DZ158*VLOOKUP('Données projet'!$B$14,Paramètres!$A$1:$I$89,3,0)*0.475*44/12</f>
        <v>0</v>
      </c>
      <c r="ED158" s="24">
        <f t="shared" si="178"/>
        <v>0</v>
      </c>
      <c r="EE158" s="77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1.1368683772161603E-13</v>
      </c>
      <c r="EK158" s="18">
        <f>EJ158*VLOOKUP('Données projet'!$B$15,Paramètres!$A$1:$I$89,3,0)*VLOOKUP('Données projet'!$B$15,Paramètres!$A$1:$I$89,5,0)</f>
        <v>8.8675733422860506E-14</v>
      </c>
      <c r="EL158" s="14">
        <f t="shared" si="179"/>
        <v>1.3509285393066301E-12</v>
      </c>
      <c r="EM158" s="22">
        <f t="shared" si="180"/>
        <v>2.5073107750038623E-12</v>
      </c>
      <c r="EN158" s="60">
        <f t="shared" si="128"/>
        <v>293.33333333333582</v>
      </c>
      <c r="EO158" s="60">
        <f ca="1">AVERAGE(OFFSET($EN$3,0,0,'Données projet'!$E$15+1,1))-AVERAGE(OFFSET($H$3,0,0,'Données projet'!$E$15+1,1))</f>
        <v>292.57482726862594</v>
      </c>
      <c r="EP158" s="60">
        <f t="shared" si="154"/>
        <v>283.48738729114024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>
        <f>EXP(-LN(2)/35)*EV157+(1-EXP(-LN(2)/35))/(LN(2)/35)*ER158*ES158*VLOOKUP('Données projet'!$B$15,Paramètres!$A$1:$I$89,3,0)*0.475*44/12</f>
        <v>0</v>
      </c>
      <c r="EW158" s="23">
        <f>EXP(-LN(2)/25)*EW157+(1-EXP(-LN(2)/25))/(LN(2)/25)*Calculateur!ER158*Calculateur!ET158*VLOOKUP('Données projet'!$B$15,Paramètres!$A$1:$I$89,3,0)*0.475*44/12</f>
        <v>0</v>
      </c>
      <c r="EX158" s="23">
        <f>EXP(-LN(2)/2)*EX157+(1-EXP(-LN(2)/2))/(LN(2)/2)*ER158*EU158*VLOOKUP('Données projet'!$B$15,Paramètres!$A$1:$I$89,3,0)*0.475*44/12</f>
        <v>0</v>
      </c>
      <c r="EY158" s="24">
        <f t="shared" si="181"/>
        <v>0</v>
      </c>
      <c r="EZ158" s="77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0" t="e">
        <f t="shared" si="131"/>
        <v>#N/A</v>
      </c>
      <c r="FJ158" s="60" t="e">
        <f ca="1">AVERAGE(OFFSET($FI$3,0,0,'Données projet'!$E$16+1,1))-AVERAGE(OFFSET($H$3,0,0,'Données projet'!$E$16+1,1))</f>
        <v>#N/A</v>
      </c>
      <c r="FK158" s="60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77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0" t="e">
        <f t="shared" si="134"/>
        <v>#N/A</v>
      </c>
      <c r="GE158" s="60" t="e">
        <f ca="1">AVERAGE(OFFSET($GD$3,0,0,'Données projet'!$E$17+1,1))-AVERAGE(OFFSET($H$3,0,0,'Données projet'!$E$17+1,1))</f>
        <v>#N/A</v>
      </c>
      <c r="GF158" s="60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77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0" t="e">
        <f t="shared" si="137"/>
        <v>#N/A</v>
      </c>
      <c r="GZ158" s="60" t="e">
        <f ca="1">AVERAGE(OFFSET($GY$3,0,0,'Données projet'!$E$18+1,1))-AVERAGE(OFFSET($H$3,0,0,'Données projet'!$E$18+1,1))</f>
        <v>#N/A</v>
      </c>
      <c r="HA158" s="60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25">
      <c r="A159" s="11">
        <f t="shared" si="161"/>
        <v>156</v>
      </c>
      <c r="B159" s="74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2">
        <f t="shared" si="140"/>
        <v>0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0</v>
      </c>
      <c r="H159" s="67">
        <f t="shared" si="110"/>
        <v>256.66666666666669</v>
      </c>
      <c r="I159" s="7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1.1368683772161603E-13</v>
      </c>
      <c r="O159" s="14">
        <f>N159*VLOOKUP('Données projet'!$B$9,Paramètres!$A$1:$I$89,3,0)*VLOOKUP('Données projet'!$B$9,Paramètres!$A$1:$I$89,5,0)</f>
        <v>1.0818439477588981E-13</v>
      </c>
      <c r="P159" s="14">
        <f t="shared" si="141"/>
        <v>1.6104228458716316E-12</v>
      </c>
      <c r="Q159" s="22">
        <f t="shared" si="162"/>
        <v>2.9932409441277661E-12</v>
      </c>
      <c r="R159" s="60">
        <f t="shared" si="109"/>
        <v>293.33333333333633</v>
      </c>
      <c r="S159" s="60">
        <f ca="1">AVERAGE(OFFSET($R$3,0,0,'Données projet'!$E$9+1,1))-AVERAGE(OFFSET($H$3,0,0,'Données projet'!$E$9+1,1))</f>
        <v>403.49781966317852</v>
      </c>
      <c r="T159" s="60">
        <f t="shared" si="142"/>
        <v>326.06674572505409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0</v>
      </c>
      <c r="AA159" s="23">
        <f>EXP(-LN(2)/25)*AA158+(1-EXP(-LN(2)/25))/(LN(2)/25)*Calculateur!V159*Calculateur!X159*VLOOKUP('Données projet'!$B$9,Paramètres!$A$1:$I$89,3,0)*0.475*44/12</f>
        <v>0</v>
      </c>
      <c r="AB159" s="23">
        <f>EXP(-LN(2)/2)*AB158+(1-EXP(-LN(2)/2))/(LN(2)/2)*V159*Y159*VLOOKUP('Données projet'!$B$9,Paramètres!$A$1:$I$89,3,0)*0.475*44/12</f>
        <v>0</v>
      </c>
      <c r="AC159" s="24">
        <f t="shared" si="163"/>
        <v>0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-1.1368683772161603E-13</v>
      </c>
      <c r="AJ159" s="14">
        <f>AI159*VLOOKUP('Données projet'!$B$10,Paramètres!$A$1:$I$89,3,0)*VLOOKUP('Données projet'!$B$10,Paramètres!$A$1:$I$89,5,0)</f>
        <v>-9.9316821433603781E-14</v>
      </c>
      <c r="AK159" s="14" t="e">
        <f t="shared" si="164"/>
        <v>#NUM!</v>
      </c>
      <c r="AL159" s="22" t="e">
        <f t="shared" si="165"/>
        <v>#NUM!</v>
      </c>
      <c r="AM159" s="60" t="e">
        <f t="shared" si="113"/>
        <v>#NUM!</v>
      </c>
      <c r="AN159" s="60">
        <f ca="1">AVERAGE(OFFSET($AM$3,0,0,'Données projet'!$E$10+1,1))-AVERAGE(OFFSET($H$3,0,0,'Données projet'!$E$10+1,1))</f>
        <v>274.66236526869056</v>
      </c>
      <c r="AO159" s="60">
        <f t="shared" si="144"/>
        <v>256.90876395053073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>
        <f>EXP(-LN(2)/35)*AU158+(1-EXP(-LN(2)/35))/(LN(2)/35)*AQ159*AR159*VLOOKUP('Données projet'!$B$10,Paramètres!$A$1:$I$89,3,0)*0.475*44/12</f>
        <v>0</v>
      </c>
      <c r="AV159" s="23">
        <f>EXP(-LN(2)/25)*AV158+(1-EXP(-LN(2)/25))/(LN(2)/25)*Calculateur!AQ159*Calculateur!AS159*VLOOKUP('Données projet'!$B$10,Paramètres!$A$1:$I$89,3,0)*0.475*44/12</f>
        <v>0</v>
      </c>
      <c r="AW159" s="23">
        <f>EXP(-LN(2)/2)*AW158+(1-EXP(-LN(2)/2))/(LN(2)/2)*AQ159*AT159*VLOOKUP('Données projet'!$B$10,Paramètres!$A$1:$I$89,3,0)*0.475*44/12</f>
        <v>0</v>
      </c>
      <c r="AX159" s="23">
        <f t="shared" si="166"/>
        <v>0</v>
      </c>
      <c r="AY159" s="76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-1.1368683772161603E-13</v>
      </c>
      <c r="BE159" s="14">
        <f>BD159*VLOOKUP('Données projet'!$B$11,Paramètres!$A$1:$I$89,3,0)*VLOOKUP('Données projet'!$B$11,Paramètres!$A$1:$I$89,5,0)</f>
        <v>-1.0286385077051818E-13</v>
      </c>
      <c r="BF159" s="14" t="e">
        <f t="shared" si="167"/>
        <v>#NUM!</v>
      </c>
      <c r="BG159" s="22" t="e">
        <f t="shared" si="168"/>
        <v>#NUM!</v>
      </c>
      <c r="BH159" s="60" t="e">
        <f t="shared" si="116"/>
        <v>#NUM!</v>
      </c>
      <c r="BI159" s="60">
        <f ca="1">AVERAGE(OFFSET($BH$3,0,0,'Données projet'!$E$11+1,1))-AVERAGE(OFFSET($H$3,0,0,'Données projet'!$E$11+1,1))</f>
        <v>529.25712986118265</v>
      </c>
      <c r="BJ159" s="60">
        <f t="shared" si="146"/>
        <v>278.21741231699929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>
        <f>EXP(-LN(2)/35)*BP158+(1-EXP(-LN(2)/35))/(LN(2)/35)*BL159*BM159*VLOOKUP('Données projet'!$B$11,Paramètres!$A$1:$I$89,3,0)*0.475*44/12</f>
        <v>0</v>
      </c>
      <c r="BQ159" s="23">
        <f>EXP(-LN(2)/25)*BQ158+(1-EXP(-LN(2)/25))/(LN(2)/25)*Calculateur!BL159*Calculateur!BN159*VLOOKUP('Données projet'!$B$11,Paramètres!$A$1:$I$89,3,0)*0.475*44/12</f>
        <v>0</v>
      </c>
      <c r="BR159" s="23">
        <f>EXP(-LN(2)/2)*BR158+(1-EXP(-LN(2)/2))/(LN(2)/2)*BL159*BO159*VLOOKUP('Données projet'!$B$11,Paramètres!$A$1:$I$89,3,0)*0.475*44/12</f>
        <v>0</v>
      </c>
      <c r="BS159" s="24">
        <f t="shared" si="169"/>
        <v>0</v>
      </c>
      <c r="BT159" s="77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-1.1368683772161603E-13</v>
      </c>
      <c r="BZ159" s="14">
        <f>BY159*VLOOKUP('Données projet'!$B$12,Paramètres!$A$1:$I$89,3,0)*VLOOKUP('Données projet'!$B$12,Paramètres!$A$1:$I$89,5,0)</f>
        <v>-1.1527845344971866E-13</v>
      </c>
      <c r="CA159" s="14" t="e">
        <f t="shared" si="170"/>
        <v>#NUM!</v>
      </c>
      <c r="CB159" s="22" t="e">
        <f t="shared" si="171"/>
        <v>#NUM!</v>
      </c>
      <c r="CC159" s="60" t="e">
        <f t="shared" si="119"/>
        <v>#NUM!</v>
      </c>
      <c r="CD159" s="60">
        <f ca="1">AVERAGE(OFFSET($CC$3,0,0,'Données projet'!$E$12+1,1))-AVERAGE(OFFSET($H$3,0,0,'Données projet'!$E$12+1,1))</f>
        <v>587.74247372331615</v>
      </c>
      <c r="CE159" s="60">
        <f t="shared" si="148"/>
        <v>306.61893266146666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>
        <f>EXP(-LN(2)/35)*CK158+(1-EXP(-LN(2)/35))/(LN(2)/35)*CG159*CH159*VLOOKUP('Données projet'!$B$12,Paramètres!$A$1:$I$89,3,0)*0.475*44/12</f>
        <v>0</v>
      </c>
      <c r="CL159" s="23">
        <f>EXP(-LN(2)/25)*CL158+(1-EXP(-LN(2)/25))/(LN(2)/25)*Calculateur!CG159*Calculateur!CI159*VLOOKUP('Données projet'!$B$12,Paramètres!$A$1:$I$89,3,0)*0.475*44/12</f>
        <v>0</v>
      </c>
      <c r="CM159" s="23">
        <f>EXP(-LN(2)/2)*CM158+(1-EXP(-LN(2)/2))/(LN(2)/2)*CG159*CJ159*VLOOKUP('Données projet'!$B$12,Paramètres!$A$1:$I$89,3,0)*0.475*44/12</f>
        <v>0</v>
      </c>
      <c r="CN159" s="24">
        <f t="shared" si="172"/>
        <v>0</v>
      </c>
      <c r="CO159" s="77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-1.1368683772161603E-13</v>
      </c>
      <c r="CU159" s="18">
        <f>CT159*VLOOKUP('Données projet'!$B$13,Paramètres!$A$1:$I$89,3,0)*VLOOKUP('Données projet'!$B$13,Paramètres!$A$1:$I$89,5,0)</f>
        <v>-1.223725121235475E-13</v>
      </c>
      <c r="CV159" s="14" t="e">
        <f t="shared" si="173"/>
        <v>#NUM!</v>
      </c>
      <c r="CW159" s="22" t="e">
        <f t="shared" si="174"/>
        <v>#NUM!</v>
      </c>
      <c r="CX159" s="60" t="e">
        <f t="shared" si="122"/>
        <v>#NUM!</v>
      </c>
      <c r="CY159" s="60">
        <f ca="1">AVERAGE(OFFSET($CX$3,0,0,'Données projet'!$E$13+1,1))-AVERAGE(OFFSET($H$3,0,0,'Données projet'!$E$13+1,1))</f>
        <v>621.10465023992288</v>
      </c>
      <c r="CZ159" s="60">
        <f t="shared" si="150"/>
        <v>322.81767004794284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>
        <f>EXP(-LN(2)/35)*DF158+(1-EXP(-LN(2)/35))/(LN(2)/35)*DB159*DC159*VLOOKUP('Données projet'!$B$13,Paramètres!$A$1:$I$89,3,0)*0.475*44/12</f>
        <v>0</v>
      </c>
      <c r="DG159" s="23">
        <f>EXP(-LN(2)/25)*DG158+(1-EXP(-LN(2)/25))/(LN(2)/25)*Calculateur!DB159*Calculateur!DD159*VLOOKUP('Données projet'!$B$13,Paramètres!$A$1:$I$89,3,0)*0.475*44/12</f>
        <v>0</v>
      </c>
      <c r="DH159" s="23">
        <f>EXP(-LN(2)/2)*DH158+(1-EXP(-LN(2)/2))/(LN(2)/2)*DB159*DE159*VLOOKUP('Données projet'!$B$13,Paramètres!$A$1:$I$89,3,0)*0.475*44/12</f>
        <v>0</v>
      </c>
      <c r="DI159" s="24">
        <f t="shared" si="175"/>
        <v>0</v>
      </c>
      <c r="DJ159" s="77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-1.1368683772161603E-13</v>
      </c>
      <c r="DP159" s="18">
        <f>DO159*VLOOKUP('Données projet'!$B$14,Paramètres!$A$1:$I$89,3,0)*VLOOKUP('Données projet'!$B$14,Paramètres!$A$1:$I$89,5,0)</f>
        <v>-1.0995790944434703E-13</v>
      </c>
      <c r="DQ159" s="14" t="e">
        <f t="shared" si="176"/>
        <v>#NUM!</v>
      </c>
      <c r="DR159" s="22" t="e">
        <f t="shared" si="177"/>
        <v>#NUM!</v>
      </c>
      <c r="DS159" s="60" t="e">
        <f t="shared" si="125"/>
        <v>#NUM!</v>
      </c>
      <c r="DT159" s="60">
        <f ca="1">AVERAGE(OFFSET($DS$3,0,0,'Données projet'!$E$14+1,1))-AVERAGE(OFFSET($H$3,0,0,'Données projet'!$E$14+1,1))</f>
        <v>562.69380557620775</v>
      </c>
      <c r="DU159" s="60">
        <f t="shared" si="152"/>
        <v>294.45557293177131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>
        <f>EXP(-LN(2)/35)*EA158+(1-EXP(-LN(2)/35))/(LN(2)/35)*DW159*DX159*VLOOKUP('Données projet'!$B$14,Paramètres!$A$1:$I$89,3,0)*0.475*44/12</f>
        <v>0</v>
      </c>
      <c r="EB159" s="23">
        <f>EXP(-LN(2)/25)*EB158+(1-EXP(-LN(2)/25))/(LN(2)/25)*Calculateur!DW159*Calculateur!DY159*VLOOKUP('Données projet'!$B$14,Paramètres!$A$1:$I$89,3,0)*0.475*44/12</f>
        <v>0</v>
      </c>
      <c r="EC159" s="23">
        <f>EXP(-LN(2)/2)*EC158+(1-EXP(-LN(2)/2))/(LN(2)/2)*DW159*DZ159*VLOOKUP('Données projet'!$B$14,Paramètres!$A$1:$I$89,3,0)*0.475*44/12</f>
        <v>0</v>
      </c>
      <c r="ED159" s="24">
        <f t="shared" si="178"/>
        <v>0</v>
      </c>
      <c r="EE159" s="77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1.1368683772161603E-13</v>
      </c>
      <c r="EK159" s="18">
        <f>EJ159*VLOOKUP('Données projet'!$B$15,Paramètres!$A$1:$I$89,3,0)*VLOOKUP('Données projet'!$B$15,Paramètres!$A$1:$I$89,5,0)</f>
        <v>8.8675733422860506E-14</v>
      </c>
      <c r="EL159" s="14">
        <f t="shared" si="179"/>
        <v>1.3509285393066301E-12</v>
      </c>
      <c r="EM159" s="22">
        <f t="shared" si="180"/>
        <v>2.5073107750038623E-12</v>
      </c>
      <c r="EN159" s="60">
        <f t="shared" si="128"/>
        <v>293.33333333333582</v>
      </c>
      <c r="EO159" s="60">
        <f ca="1">AVERAGE(OFFSET($EN$3,0,0,'Données projet'!$E$15+1,1))-AVERAGE(OFFSET($H$3,0,0,'Données projet'!$E$15+1,1))</f>
        <v>292.57482726862594</v>
      </c>
      <c r="EP159" s="60">
        <f t="shared" si="154"/>
        <v>283.48738729114024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>
        <f>EXP(-LN(2)/35)*EV158+(1-EXP(-LN(2)/35))/(LN(2)/35)*ER159*ES159*VLOOKUP('Données projet'!$B$15,Paramètres!$A$1:$I$89,3,0)*0.475*44/12</f>
        <v>0</v>
      </c>
      <c r="EW159" s="23">
        <f>EXP(-LN(2)/25)*EW158+(1-EXP(-LN(2)/25))/(LN(2)/25)*Calculateur!ER159*Calculateur!ET159*VLOOKUP('Données projet'!$B$15,Paramètres!$A$1:$I$89,3,0)*0.475*44/12</f>
        <v>0</v>
      </c>
      <c r="EX159" s="23">
        <f>EXP(-LN(2)/2)*EX158+(1-EXP(-LN(2)/2))/(LN(2)/2)*ER159*EU159*VLOOKUP('Données projet'!$B$15,Paramètres!$A$1:$I$89,3,0)*0.475*44/12</f>
        <v>0</v>
      </c>
      <c r="EY159" s="24">
        <f t="shared" si="181"/>
        <v>0</v>
      </c>
      <c r="EZ159" s="77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0" t="e">
        <f t="shared" si="131"/>
        <v>#N/A</v>
      </c>
      <c r="FJ159" s="60" t="e">
        <f ca="1">AVERAGE(OFFSET($FI$3,0,0,'Données projet'!$E$16+1,1))-AVERAGE(OFFSET($H$3,0,0,'Données projet'!$E$16+1,1))</f>
        <v>#N/A</v>
      </c>
      <c r="FK159" s="60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77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0" t="e">
        <f t="shared" si="134"/>
        <v>#N/A</v>
      </c>
      <c r="GE159" s="60" t="e">
        <f ca="1">AVERAGE(OFFSET($GD$3,0,0,'Données projet'!$E$17+1,1))-AVERAGE(OFFSET($H$3,0,0,'Données projet'!$E$17+1,1))</f>
        <v>#N/A</v>
      </c>
      <c r="GF159" s="60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77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0" t="e">
        <f t="shared" si="137"/>
        <v>#N/A</v>
      </c>
      <c r="GZ159" s="60" t="e">
        <f ca="1">AVERAGE(OFFSET($GY$3,0,0,'Données projet'!$E$18+1,1))-AVERAGE(OFFSET($H$3,0,0,'Données projet'!$E$18+1,1))</f>
        <v>#N/A</v>
      </c>
      <c r="HA159" s="60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25">
      <c r="A160" s="11">
        <f t="shared" si="161"/>
        <v>157</v>
      </c>
      <c r="B160" s="74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2">
        <f t="shared" si="140"/>
        <v>0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0</v>
      </c>
      <c r="H160" s="67">
        <f t="shared" si="110"/>
        <v>256.66666666666669</v>
      </c>
      <c r="I160" s="7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1.1368683772161603E-13</v>
      </c>
      <c r="O160" s="14">
        <f>N160*VLOOKUP('Données projet'!$B$9,Paramètres!$A$1:$I$89,3,0)*VLOOKUP('Données projet'!$B$9,Paramètres!$A$1:$I$89,5,0)</f>
        <v>1.0818439477588981E-13</v>
      </c>
      <c r="P160" s="14">
        <f t="shared" si="141"/>
        <v>1.6104228458716316E-12</v>
      </c>
      <c r="Q160" s="22">
        <f t="shared" si="162"/>
        <v>2.9932409441277661E-12</v>
      </c>
      <c r="R160" s="60">
        <f t="shared" si="109"/>
        <v>293.33333333333633</v>
      </c>
      <c r="S160" s="60">
        <f ca="1">AVERAGE(OFFSET($R$3,0,0,'Données projet'!$E$9+1,1))-AVERAGE(OFFSET($H$3,0,0,'Données projet'!$E$9+1,1))</f>
        <v>403.49781966317852</v>
      </c>
      <c r="T160" s="60">
        <f t="shared" si="142"/>
        <v>326.06674572505409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0</v>
      </c>
      <c r="AA160" s="23">
        <f>EXP(-LN(2)/25)*AA159+(1-EXP(-LN(2)/25))/(LN(2)/25)*Calculateur!V160*Calculateur!X160*VLOOKUP('Données projet'!$B$9,Paramètres!$A$1:$I$89,3,0)*0.475*44/12</f>
        <v>0</v>
      </c>
      <c r="AB160" s="23">
        <f>EXP(-LN(2)/2)*AB159+(1-EXP(-LN(2)/2))/(LN(2)/2)*V160*Y160*VLOOKUP('Données projet'!$B$9,Paramètres!$A$1:$I$89,3,0)*0.475*44/12</f>
        <v>0</v>
      </c>
      <c r="AC160" s="24">
        <f t="shared" si="163"/>
        <v>0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-1.1368683772161603E-13</v>
      </c>
      <c r="AJ160" s="14">
        <f>AI160*VLOOKUP('Données projet'!$B$10,Paramètres!$A$1:$I$89,3,0)*VLOOKUP('Données projet'!$B$10,Paramètres!$A$1:$I$89,5,0)</f>
        <v>-9.9316821433603781E-14</v>
      </c>
      <c r="AK160" s="14" t="e">
        <f t="shared" si="164"/>
        <v>#NUM!</v>
      </c>
      <c r="AL160" s="22" t="e">
        <f t="shared" si="165"/>
        <v>#NUM!</v>
      </c>
      <c r="AM160" s="60" t="e">
        <f t="shared" si="113"/>
        <v>#NUM!</v>
      </c>
      <c r="AN160" s="60">
        <f ca="1">AVERAGE(OFFSET($AM$3,0,0,'Données projet'!$E$10+1,1))-AVERAGE(OFFSET($H$3,0,0,'Données projet'!$E$10+1,1))</f>
        <v>274.66236526869056</v>
      </c>
      <c r="AO160" s="60">
        <f t="shared" si="144"/>
        <v>256.90876395053073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>
        <f>EXP(-LN(2)/35)*AU159+(1-EXP(-LN(2)/35))/(LN(2)/35)*AQ160*AR160*VLOOKUP('Données projet'!$B$10,Paramètres!$A$1:$I$89,3,0)*0.475*44/12</f>
        <v>0</v>
      </c>
      <c r="AV160" s="23">
        <f>EXP(-LN(2)/25)*AV159+(1-EXP(-LN(2)/25))/(LN(2)/25)*Calculateur!AQ160*Calculateur!AS160*VLOOKUP('Données projet'!$B$10,Paramètres!$A$1:$I$89,3,0)*0.475*44/12</f>
        <v>0</v>
      </c>
      <c r="AW160" s="23">
        <f>EXP(-LN(2)/2)*AW159+(1-EXP(-LN(2)/2))/(LN(2)/2)*AQ160*AT160*VLOOKUP('Données projet'!$B$10,Paramètres!$A$1:$I$89,3,0)*0.475*44/12</f>
        <v>0</v>
      </c>
      <c r="AX160" s="23">
        <f t="shared" si="166"/>
        <v>0</v>
      </c>
      <c r="AY160" s="76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-1.1368683772161603E-13</v>
      </c>
      <c r="BE160" s="14">
        <f>BD160*VLOOKUP('Données projet'!$B$11,Paramètres!$A$1:$I$89,3,0)*VLOOKUP('Données projet'!$B$11,Paramètres!$A$1:$I$89,5,0)</f>
        <v>-1.0286385077051818E-13</v>
      </c>
      <c r="BF160" s="14" t="e">
        <f t="shared" si="167"/>
        <v>#NUM!</v>
      </c>
      <c r="BG160" s="22" t="e">
        <f t="shared" si="168"/>
        <v>#NUM!</v>
      </c>
      <c r="BH160" s="60" t="e">
        <f t="shared" si="116"/>
        <v>#NUM!</v>
      </c>
      <c r="BI160" s="60">
        <f ca="1">AVERAGE(OFFSET($BH$3,0,0,'Données projet'!$E$11+1,1))-AVERAGE(OFFSET($H$3,0,0,'Données projet'!$E$11+1,1))</f>
        <v>529.25712986118265</v>
      </c>
      <c r="BJ160" s="60">
        <f t="shared" si="146"/>
        <v>278.21741231699929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>
        <f>EXP(-LN(2)/35)*BP159+(1-EXP(-LN(2)/35))/(LN(2)/35)*BL160*BM160*VLOOKUP('Données projet'!$B$11,Paramètres!$A$1:$I$89,3,0)*0.475*44/12</f>
        <v>0</v>
      </c>
      <c r="BQ160" s="23">
        <f>EXP(-LN(2)/25)*BQ159+(1-EXP(-LN(2)/25))/(LN(2)/25)*Calculateur!BL160*Calculateur!BN160*VLOOKUP('Données projet'!$B$11,Paramètres!$A$1:$I$89,3,0)*0.475*44/12</f>
        <v>0</v>
      </c>
      <c r="BR160" s="23">
        <f>EXP(-LN(2)/2)*BR159+(1-EXP(-LN(2)/2))/(LN(2)/2)*BL160*BO160*VLOOKUP('Données projet'!$B$11,Paramètres!$A$1:$I$89,3,0)*0.475*44/12</f>
        <v>0</v>
      </c>
      <c r="BS160" s="24">
        <f t="shared" si="169"/>
        <v>0</v>
      </c>
      <c r="BT160" s="77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-1.1368683772161603E-13</v>
      </c>
      <c r="BZ160" s="14">
        <f>BY160*VLOOKUP('Données projet'!$B$12,Paramètres!$A$1:$I$89,3,0)*VLOOKUP('Données projet'!$B$12,Paramètres!$A$1:$I$89,5,0)</f>
        <v>-1.1527845344971866E-13</v>
      </c>
      <c r="CA160" s="14" t="e">
        <f t="shared" si="170"/>
        <v>#NUM!</v>
      </c>
      <c r="CB160" s="22" t="e">
        <f t="shared" si="171"/>
        <v>#NUM!</v>
      </c>
      <c r="CC160" s="60" t="e">
        <f t="shared" si="119"/>
        <v>#NUM!</v>
      </c>
      <c r="CD160" s="60">
        <f ca="1">AVERAGE(OFFSET($CC$3,0,0,'Données projet'!$E$12+1,1))-AVERAGE(OFFSET($H$3,0,0,'Données projet'!$E$12+1,1))</f>
        <v>587.74247372331615</v>
      </c>
      <c r="CE160" s="60">
        <f t="shared" si="148"/>
        <v>306.61893266146666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>
        <f>EXP(-LN(2)/35)*CK159+(1-EXP(-LN(2)/35))/(LN(2)/35)*CG160*CH160*VLOOKUP('Données projet'!$B$12,Paramètres!$A$1:$I$89,3,0)*0.475*44/12</f>
        <v>0</v>
      </c>
      <c r="CL160" s="23">
        <f>EXP(-LN(2)/25)*CL159+(1-EXP(-LN(2)/25))/(LN(2)/25)*Calculateur!CG160*Calculateur!CI160*VLOOKUP('Données projet'!$B$12,Paramètres!$A$1:$I$89,3,0)*0.475*44/12</f>
        <v>0</v>
      </c>
      <c r="CM160" s="23">
        <f>EXP(-LN(2)/2)*CM159+(1-EXP(-LN(2)/2))/(LN(2)/2)*CG160*CJ160*VLOOKUP('Données projet'!$B$12,Paramètres!$A$1:$I$89,3,0)*0.475*44/12</f>
        <v>0</v>
      </c>
      <c r="CN160" s="24">
        <f t="shared" si="172"/>
        <v>0</v>
      </c>
      <c r="CO160" s="77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-1.1368683772161603E-13</v>
      </c>
      <c r="CU160" s="18">
        <f>CT160*VLOOKUP('Données projet'!$B$13,Paramètres!$A$1:$I$89,3,0)*VLOOKUP('Données projet'!$B$13,Paramètres!$A$1:$I$89,5,0)</f>
        <v>-1.223725121235475E-13</v>
      </c>
      <c r="CV160" s="14" t="e">
        <f t="shared" si="173"/>
        <v>#NUM!</v>
      </c>
      <c r="CW160" s="22" t="e">
        <f t="shared" si="174"/>
        <v>#NUM!</v>
      </c>
      <c r="CX160" s="60" t="e">
        <f t="shared" si="122"/>
        <v>#NUM!</v>
      </c>
      <c r="CY160" s="60">
        <f ca="1">AVERAGE(OFFSET($CX$3,0,0,'Données projet'!$E$13+1,1))-AVERAGE(OFFSET($H$3,0,0,'Données projet'!$E$13+1,1))</f>
        <v>621.10465023992288</v>
      </c>
      <c r="CZ160" s="60">
        <f t="shared" si="150"/>
        <v>322.81767004794284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>
        <f>EXP(-LN(2)/35)*DF159+(1-EXP(-LN(2)/35))/(LN(2)/35)*DB160*DC160*VLOOKUP('Données projet'!$B$13,Paramètres!$A$1:$I$89,3,0)*0.475*44/12</f>
        <v>0</v>
      </c>
      <c r="DG160" s="23">
        <f>EXP(-LN(2)/25)*DG159+(1-EXP(-LN(2)/25))/(LN(2)/25)*Calculateur!DB160*Calculateur!DD160*VLOOKUP('Données projet'!$B$13,Paramètres!$A$1:$I$89,3,0)*0.475*44/12</f>
        <v>0</v>
      </c>
      <c r="DH160" s="23">
        <f>EXP(-LN(2)/2)*DH159+(1-EXP(-LN(2)/2))/(LN(2)/2)*DB160*DE160*VLOOKUP('Données projet'!$B$13,Paramètres!$A$1:$I$89,3,0)*0.475*44/12</f>
        <v>0</v>
      </c>
      <c r="DI160" s="24">
        <f t="shared" si="175"/>
        <v>0</v>
      </c>
      <c r="DJ160" s="77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-1.1368683772161603E-13</v>
      </c>
      <c r="DP160" s="18">
        <f>DO160*VLOOKUP('Données projet'!$B$14,Paramètres!$A$1:$I$89,3,0)*VLOOKUP('Données projet'!$B$14,Paramètres!$A$1:$I$89,5,0)</f>
        <v>-1.0995790944434703E-13</v>
      </c>
      <c r="DQ160" s="14" t="e">
        <f t="shared" si="176"/>
        <v>#NUM!</v>
      </c>
      <c r="DR160" s="22" t="e">
        <f t="shared" si="177"/>
        <v>#NUM!</v>
      </c>
      <c r="DS160" s="60" t="e">
        <f t="shared" si="125"/>
        <v>#NUM!</v>
      </c>
      <c r="DT160" s="60">
        <f ca="1">AVERAGE(OFFSET($DS$3,0,0,'Données projet'!$E$14+1,1))-AVERAGE(OFFSET($H$3,0,0,'Données projet'!$E$14+1,1))</f>
        <v>562.69380557620775</v>
      </c>
      <c r="DU160" s="60">
        <f t="shared" si="152"/>
        <v>294.45557293177131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>
        <f>EXP(-LN(2)/35)*EA159+(1-EXP(-LN(2)/35))/(LN(2)/35)*DW160*DX160*VLOOKUP('Données projet'!$B$14,Paramètres!$A$1:$I$89,3,0)*0.475*44/12</f>
        <v>0</v>
      </c>
      <c r="EB160" s="23">
        <f>EXP(-LN(2)/25)*EB159+(1-EXP(-LN(2)/25))/(LN(2)/25)*Calculateur!DW160*Calculateur!DY160*VLOOKUP('Données projet'!$B$14,Paramètres!$A$1:$I$89,3,0)*0.475*44/12</f>
        <v>0</v>
      </c>
      <c r="EC160" s="23">
        <f>EXP(-LN(2)/2)*EC159+(1-EXP(-LN(2)/2))/(LN(2)/2)*DW160*DZ160*VLOOKUP('Données projet'!$B$14,Paramètres!$A$1:$I$89,3,0)*0.475*44/12</f>
        <v>0</v>
      </c>
      <c r="ED160" s="24">
        <f t="shared" si="178"/>
        <v>0</v>
      </c>
      <c r="EE160" s="77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1.1368683772161603E-13</v>
      </c>
      <c r="EK160" s="18">
        <f>EJ160*VLOOKUP('Données projet'!$B$15,Paramètres!$A$1:$I$89,3,0)*VLOOKUP('Données projet'!$B$15,Paramètres!$A$1:$I$89,5,0)</f>
        <v>8.8675733422860506E-14</v>
      </c>
      <c r="EL160" s="14">
        <f t="shared" si="179"/>
        <v>1.3509285393066301E-12</v>
      </c>
      <c r="EM160" s="22">
        <f t="shared" si="180"/>
        <v>2.5073107750038623E-12</v>
      </c>
      <c r="EN160" s="60">
        <f t="shared" si="128"/>
        <v>293.33333333333582</v>
      </c>
      <c r="EO160" s="60">
        <f ca="1">AVERAGE(OFFSET($EN$3,0,0,'Données projet'!$E$15+1,1))-AVERAGE(OFFSET($H$3,0,0,'Données projet'!$E$15+1,1))</f>
        <v>292.57482726862594</v>
      </c>
      <c r="EP160" s="60">
        <f t="shared" si="154"/>
        <v>283.48738729114024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>
        <f>EXP(-LN(2)/35)*EV159+(1-EXP(-LN(2)/35))/(LN(2)/35)*ER160*ES160*VLOOKUP('Données projet'!$B$15,Paramètres!$A$1:$I$89,3,0)*0.475*44/12</f>
        <v>0</v>
      </c>
      <c r="EW160" s="23">
        <f>EXP(-LN(2)/25)*EW159+(1-EXP(-LN(2)/25))/(LN(2)/25)*Calculateur!ER160*Calculateur!ET160*VLOOKUP('Données projet'!$B$15,Paramètres!$A$1:$I$89,3,0)*0.475*44/12</f>
        <v>0</v>
      </c>
      <c r="EX160" s="23">
        <f>EXP(-LN(2)/2)*EX159+(1-EXP(-LN(2)/2))/(LN(2)/2)*ER160*EU160*VLOOKUP('Données projet'!$B$15,Paramètres!$A$1:$I$89,3,0)*0.475*44/12</f>
        <v>0</v>
      </c>
      <c r="EY160" s="24">
        <f t="shared" si="181"/>
        <v>0</v>
      </c>
      <c r="EZ160" s="77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0" t="e">
        <f t="shared" si="131"/>
        <v>#N/A</v>
      </c>
      <c r="FJ160" s="60" t="e">
        <f ca="1">AVERAGE(OFFSET($FI$3,0,0,'Données projet'!$E$16+1,1))-AVERAGE(OFFSET($H$3,0,0,'Données projet'!$E$16+1,1))</f>
        <v>#N/A</v>
      </c>
      <c r="FK160" s="60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77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0" t="e">
        <f t="shared" si="134"/>
        <v>#N/A</v>
      </c>
      <c r="GE160" s="60" t="e">
        <f ca="1">AVERAGE(OFFSET($GD$3,0,0,'Données projet'!$E$17+1,1))-AVERAGE(OFFSET($H$3,0,0,'Données projet'!$E$17+1,1))</f>
        <v>#N/A</v>
      </c>
      <c r="GF160" s="60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77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0" t="e">
        <f t="shared" si="137"/>
        <v>#N/A</v>
      </c>
      <c r="GZ160" s="60" t="e">
        <f ca="1">AVERAGE(OFFSET($GY$3,0,0,'Données projet'!$E$18+1,1))-AVERAGE(OFFSET($H$3,0,0,'Données projet'!$E$18+1,1))</f>
        <v>#N/A</v>
      </c>
      <c r="HA160" s="60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25">
      <c r="A161" s="11">
        <f t="shared" si="161"/>
        <v>158</v>
      </c>
      <c r="B161" s="74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2">
        <f t="shared" si="140"/>
        <v>0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0</v>
      </c>
      <c r="H161" s="67">
        <f t="shared" si="110"/>
        <v>256.66666666666669</v>
      </c>
      <c r="I161" s="7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1.1368683772161603E-13</v>
      </c>
      <c r="O161" s="14">
        <f>N161*VLOOKUP('Données projet'!$B$9,Paramètres!$A$1:$I$89,3,0)*VLOOKUP('Données projet'!$B$9,Paramètres!$A$1:$I$89,5,0)</f>
        <v>1.0818439477588981E-13</v>
      </c>
      <c r="P161" s="14">
        <f t="shared" si="141"/>
        <v>1.6104228458716316E-12</v>
      </c>
      <c r="Q161" s="22">
        <f t="shared" si="162"/>
        <v>2.9932409441277661E-12</v>
      </c>
      <c r="R161" s="60">
        <f t="shared" si="109"/>
        <v>293.33333333333633</v>
      </c>
      <c r="S161" s="60">
        <f ca="1">AVERAGE(OFFSET($R$3,0,0,'Données projet'!$E$9+1,1))-AVERAGE(OFFSET($H$3,0,0,'Données projet'!$E$9+1,1))</f>
        <v>403.49781966317852</v>
      </c>
      <c r="T161" s="60">
        <f t="shared" si="142"/>
        <v>326.06674572505409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0</v>
      </c>
      <c r="AA161" s="23">
        <f>EXP(-LN(2)/25)*AA160+(1-EXP(-LN(2)/25))/(LN(2)/25)*Calculateur!V161*Calculateur!X161*VLOOKUP('Données projet'!$B$9,Paramètres!$A$1:$I$89,3,0)*0.475*44/12</f>
        <v>0</v>
      </c>
      <c r="AB161" s="23">
        <f>EXP(-LN(2)/2)*AB160+(1-EXP(-LN(2)/2))/(LN(2)/2)*V161*Y161*VLOOKUP('Données projet'!$B$9,Paramètres!$A$1:$I$89,3,0)*0.475*44/12</f>
        <v>0</v>
      </c>
      <c r="AC161" s="24">
        <f t="shared" si="163"/>
        <v>0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-1.1368683772161603E-13</v>
      </c>
      <c r="AJ161" s="14">
        <f>AI161*VLOOKUP('Données projet'!$B$10,Paramètres!$A$1:$I$89,3,0)*VLOOKUP('Données projet'!$B$10,Paramètres!$A$1:$I$89,5,0)</f>
        <v>-9.9316821433603781E-14</v>
      </c>
      <c r="AK161" s="14" t="e">
        <f t="shared" si="164"/>
        <v>#NUM!</v>
      </c>
      <c r="AL161" s="22" t="e">
        <f t="shared" si="165"/>
        <v>#NUM!</v>
      </c>
      <c r="AM161" s="60" t="e">
        <f t="shared" si="113"/>
        <v>#NUM!</v>
      </c>
      <c r="AN161" s="60">
        <f ca="1">AVERAGE(OFFSET($AM$3,0,0,'Données projet'!$E$10+1,1))-AVERAGE(OFFSET($H$3,0,0,'Données projet'!$E$10+1,1))</f>
        <v>274.66236526869056</v>
      </c>
      <c r="AO161" s="60">
        <f t="shared" si="144"/>
        <v>256.90876395053073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>
        <f>EXP(-LN(2)/35)*AU160+(1-EXP(-LN(2)/35))/(LN(2)/35)*AQ161*AR161*VLOOKUP('Données projet'!$B$10,Paramètres!$A$1:$I$89,3,0)*0.475*44/12</f>
        <v>0</v>
      </c>
      <c r="AV161" s="23">
        <f>EXP(-LN(2)/25)*AV160+(1-EXP(-LN(2)/25))/(LN(2)/25)*Calculateur!AQ161*Calculateur!AS161*VLOOKUP('Données projet'!$B$10,Paramètres!$A$1:$I$89,3,0)*0.475*44/12</f>
        <v>0</v>
      </c>
      <c r="AW161" s="23">
        <f>EXP(-LN(2)/2)*AW160+(1-EXP(-LN(2)/2))/(LN(2)/2)*AQ161*AT161*VLOOKUP('Données projet'!$B$10,Paramètres!$A$1:$I$89,3,0)*0.475*44/12</f>
        <v>0</v>
      </c>
      <c r="AX161" s="23">
        <f t="shared" si="166"/>
        <v>0</v>
      </c>
      <c r="AY161" s="76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-1.1368683772161603E-13</v>
      </c>
      <c r="BE161" s="14">
        <f>BD161*VLOOKUP('Données projet'!$B$11,Paramètres!$A$1:$I$89,3,0)*VLOOKUP('Données projet'!$B$11,Paramètres!$A$1:$I$89,5,0)</f>
        <v>-1.0286385077051818E-13</v>
      </c>
      <c r="BF161" s="14" t="e">
        <f t="shared" si="167"/>
        <v>#NUM!</v>
      </c>
      <c r="BG161" s="22" t="e">
        <f t="shared" si="168"/>
        <v>#NUM!</v>
      </c>
      <c r="BH161" s="60" t="e">
        <f t="shared" si="116"/>
        <v>#NUM!</v>
      </c>
      <c r="BI161" s="60">
        <f ca="1">AVERAGE(OFFSET($BH$3,0,0,'Données projet'!$E$11+1,1))-AVERAGE(OFFSET($H$3,0,0,'Données projet'!$E$11+1,1))</f>
        <v>529.25712986118265</v>
      </c>
      <c r="BJ161" s="60">
        <f t="shared" si="146"/>
        <v>278.21741231699929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>
        <f>EXP(-LN(2)/35)*BP160+(1-EXP(-LN(2)/35))/(LN(2)/35)*BL161*BM161*VLOOKUP('Données projet'!$B$11,Paramètres!$A$1:$I$89,3,0)*0.475*44/12</f>
        <v>0</v>
      </c>
      <c r="BQ161" s="23">
        <f>EXP(-LN(2)/25)*BQ160+(1-EXP(-LN(2)/25))/(LN(2)/25)*Calculateur!BL161*Calculateur!BN161*VLOOKUP('Données projet'!$B$11,Paramètres!$A$1:$I$89,3,0)*0.475*44/12</f>
        <v>0</v>
      </c>
      <c r="BR161" s="23">
        <f>EXP(-LN(2)/2)*BR160+(1-EXP(-LN(2)/2))/(LN(2)/2)*BL161*BO161*VLOOKUP('Données projet'!$B$11,Paramètres!$A$1:$I$89,3,0)*0.475*44/12</f>
        <v>0</v>
      </c>
      <c r="BS161" s="24">
        <f t="shared" si="169"/>
        <v>0</v>
      </c>
      <c r="BT161" s="77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-1.1368683772161603E-13</v>
      </c>
      <c r="BZ161" s="14">
        <f>BY161*VLOOKUP('Données projet'!$B$12,Paramètres!$A$1:$I$89,3,0)*VLOOKUP('Données projet'!$B$12,Paramètres!$A$1:$I$89,5,0)</f>
        <v>-1.1527845344971866E-13</v>
      </c>
      <c r="CA161" s="14" t="e">
        <f t="shared" si="170"/>
        <v>#NUM!</v>
      </c>
      <c r="CB161" s="22" t="e">
        <f t="shared" si="171"/>
        <v>#NUM!</v>
      </c>
      <c r="CC161" s="60" t="e">
        <f t="shared" si="119"/>
        <v>#NUM!</v>
      </c>
      <c r="CD161" s="60">
        <f ca="1">AVERAGE(OFFSET($CC$3,0,0,'Données projet'!$E$12+1,1))-AVERAGE(OFFSET($H$3,0,0,'Données projet'!$E$12+1,1))</f>
        <v>587.74247372331615</v>
      </c>
      <c r="CE161" s="60">
        <f t="shared" si="148"/>
        <v>306.61893266146666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>
        <f>EXP(-LN(2)/35)*CK160+(1-EXP(-LN(2)/35))/(LN(2)/35)*CG161*CH161*VLOOKUP('Données projet'!$B$12,Paramètres!$A$1:$I$89,3,0)*0.475*44/12</f>
        <v>0</v>
      </c>
      <c r="CL161" s="23">
        <f>EXP(-LN(2)/25)*CL160+(1-EXP(-LN(2)/25))/(LN(2)/25)*Calculateur!CG161*Calculateur!CI161*VLOOKUP('Données projet'!$B$12,Paramètres!$A$1:$I$89,3,0)*0.475*44/12</f>
        <v>0</v>
      </c>
      <c r="CM161" s="23">
        <f>EXP(-LN(2)/2)*CM160+(1-EXP(-LN(2)/2))/(LN(2)/2)*CG161*CJ161*VLOOKUP('Données projet'!$B$12,Paramètres!$A$1:$I$89,3,0)*0.475*44/12</f>
        <v>0</v>
      </c>
      <c r="CN161" s="24">
        <f t="shared" si="172"/>
        <v>0</v>
      </c>
      <c r="CO161" s="77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-1.1368683772161603E-13</v>
      </c>
      <c r="CU161" s="18">
        <f>CT161*VLOOKUP('Données projet'!$B$13,Paramètres!$A$1:$I$89,3,0)*VLOOKUP('Données projet'!$B$13,Paramètres!$A$1:$I$89,5,0)</f>
        <v>-1.223725121235475E-13</v>
      </c>
      <c r="CV161" s="14" t="e">
        <f t="shared" si="173"/>
        <v>#NUM!</v>
      </c>
      <c r="CW161" s="22" t="e">
        <f t="shared" si="174"/>
        <v>#NUM!</v>
      </c>
      <c r="CX161" s="60" t="e">
        <f t="shared" si="122"/>
        <v>#NUM!</v>
      </c>
      <c r="CY161" s="60">
        <f ca="1">AVERAGE(OFFSET($CX$3,0,0,'Données projet'!$E$13+1,1))-AVERAGE(OFFSET($H$3,0,0,'Données projet'!$E$13+1,1))</f>
        <v>621.10465023992288</v>
      </c>
      <c r="CZ161" s="60">
        <f t="shared" si="150"/>
        <v>322.81767004794284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>
        <f>EXP(-LN(2)/35)*DF160+(1-EXP(-LN(2)/35))/(LN(2)/35)*DB161*DC161*VLOOKUP('Données projet'!$B$13,Paramètres!$A$1:$I$89,3,0)*0.475*44/12</f>
        <v>0</v>
      </c>
      <c r="DG161" s="23">
        <f>EXP(-LN(2)/25)*DG160+(1-EXP(-LN(2)/25))/(LN(2)/25)*Calculateur!DB161*Calculateur!DD161*VLOOKUP('Données projet'!$B$13,Paramètres!$A$1:$I$89,3,0)*0.475*44/12</f>
        <v>0</v>
      </c>
      <c r="DH161" s="23">
        <f>EXP(-LN(2)/2)*DH160+(1-EXP(-LN(2)/2))/(LN(2)/2)*DB161*DE161*VLOOKUP('Données projet'!$B$13,Paramètres!$A$1:$I$89,3,0)*0.475*44/12</f>
        <v>0</v>
      </c>
      <c r="DI161" s="24">
        <f t="shared" si="175"/>
        <v>0</v>
      </c>
      <c r="DJ161" s="77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-1.1368683772161603E-13</v>
      </c>
      <c r="DP161" s="18">
        <f>DO161*VLOOKUP('Données projet'!$B$14,Paramètres!$A$1:$I$89,3,0)*VLOOKUP('Données projet'!$B$14,Paramètres!$A$1:$I$89,5,0)</f>
        <v>-1.0995790944434703E-13</v>
      </c>
      <c r="DQ161" s="14" t="e">
        <f t="shared" si="176"/>
        <v>#NUM!</v>
      </c>
      <c r="DR161" s="22" t="e">
        <f t="shared" si="177"/>
        <v>#NUM!</v>
      </c>
      <c r="DS161" s="60" t="e">
        <f t="shared" si="125"/>
        <v>#NUM!</v>
      </c>
      <c r="DT161" s="60">
        <f ca="1">AVERAGE(OFFSET($DS$3,0,0,'Données projet'!$E$14+1,1))-AVERAGE(OFFSET($H$3,0,0,'Données projet'!$E$14+1,1))</f>
        <v>562.69380557620775</v>
      </c>
      <c r="DU161" s="60">
        <f t="shared" si="152"/>
        <v>294.45557293177131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>
        <f>EXP(-LN(2)/35)*EA160+(1-EXP(-LN(2)/35))/(LN(2)/35)*DW161*DX161*VLOOKUP('Données projet'!$B$14,Paramètres!$A$1:$I$89,3,0)*0.475*44/12</f>
        <v>0</v>
      </c>
      <c r="EB161" s="23">
        <f>EXP(-LN(2)/25)*EB160+(1-EXP(-LN(2)/25))/(LN(2)/25)*Calculateur!DW161*Calculateur!DY161*VLOOKUP('Données projet'!$B$14,Paramètres!$A$1:$I$89,3,0)*0.475*44/12</f>
        <v>0</v>
      </c>
      <c r="EC161" s="23">
        <f>EXP(-LN(2)/2)*EC160+(1-EXP(-LN(2)/2))/(LN(2)/2)*DW161*DZ161*VLOOKUP('Données projet'!$B$14,Paramètres!$A$1:$I$89,3,0)*0.475*44/12</f>
        <v>0</v>
      </c>
      <c r="ED161" s="24">
        <f t="shared" si="178"/>
        <v>0</v>
      </c>
      <c r="EE161" s="77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1.1368683772161603E-13</v>
      </c>
      <c r="EK161" s="18">
        <f>EJ161*VLOOKUP('Données projet'!$B$15,Paramètres!$A$1:$I$89,3,0)*VLOOKUP('Données projet'!$B$15,Paramètres!$A$1:$I$89,5,0)</f>
        <v>8.8675733422860506E-14</v>
      </c>
      <c r="EL161" s="14">
        <f t="shared" si="179"/>
        <v>1.3509285393066301E-12</v>
      </c>
      <c r="EM161" s="22">
        <f t="shared" si="180"/>
        <v>2.5073107750038623E-12</v>
      </c>
      <c r="EN161" s="60">
        <f t="shared" si="128"/>
        <v>293.33333333333582</v>
      </c>
      <c r="EO161" s="60">
        <f ca="1">AVERAGE(OFFSET($EN$3,0,0,'Données projet'!$E$15+1,1))-AVERAGE(OFFSET($H$3,0,0,'Données projet'!$E$15+1,1))</f>
        <v>292.57482726862594</v>
      </c>
      <c r="EP161" s="60">
        <f t="shared" si="154"/>
        <v>283.48738729114024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>
        <f>EXP(-LN(2)/35)*EV160+(1-EXP(-LN(2)/35))/(LN(2)/35)*ER161*ES161*VLOOKUP('Données projet'!$B$15,Paramètres!$A$1:$I$89,3,0)*0.475*44/12</f>
        <v>0</v>
      </c>
      <c r="EW161" s="23">
        <f>EXP(-LN(2)/25)*EW160+(1-EXP(-LN(2)/25))/(LN(2)/25)*Calculateur!ER161*Calculateur!ET161*VLOOKUP('Données projet'!$B$15,Paramètres!$A$1:$I$89,3,0)*0.475*44/12</f>
        <v>0</v>
      </c>
      <c r="EX161" s="23">
        <f>EXP(-LN(2)/2)*EX160+(1-EXP(-LN(2)/2))/(LN(2)/2)*ER161*EU161*VLOOKUP('Données projet'!$B$15,Paramètres!$A$1:$I$89,3,0)*0.475*44/12</f>
        <v>0</v>
      </c>
      <c r="EY161" s="24">
        <f t="shared" si="181"/>
        <v>0</v>
      </c>
      <c r="EZ161" s="77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0" t="e">
        <f t="shared" si="131"/>
        <v>#N/A</v>
      </c>
      <c r="FJ161" s="60" t="e">
        <f ca="1">AVERAGE(OFFSET($FI$3,0,0,'Données projet'!$E$16+1,1))-AVERAGE(OFFSET($H$3,0,0,'Données projet'!$E$16+1,1))</f>
        <v>#N/A</v>
      </c>
      <c r="FK161" s="60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77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0" t="e">
        <f t="shared" si="134"/>
        <v>#N/A</v>
      </c>
      <c r="GE161" s="60" t="e">
        <f ca="1">AVERAGE(OFFSET($GD$3,0,0,'Données projet'!$E$17+1,1))-AVERAGE(OFFSET($H$3,0,0,'Données projet'!$E$17+1,1))</f>
        <v>#N/A</v>
      </c>
      <c r="GF161" s="60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77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0" t="e">
        <f t="shared" si="137"/>
        <v>#N/A</v>
      </c>
      <c r="GZ161" s="60" t="e">
        <f ca="1">AVERAGE(OFFSET($GY$3,0,0,'Données projet'!$E$18+1,1))-AVERAGE(OFFSET($H$3,0,0,'Données projet'!$E$18+1,1))</f>
        <v>#N/A</v>
      </c>
      <c r="HA161" s="60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25">
      <c r="A162" s="11">
        <f t="shared" si="161"/>
        <v>159</v>
      </c>
      <c r="B162" s="74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2">
        <f t="shared" si="140"/>
        <v>0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0</v>
      </c>
      <c r="H162" s="67">
        <f t="shared" si="110"/>
        <v>256.66666666666669</v>
      </c>
      <c r="I162" s="7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1.1368683772161603E-13</v>
      </c>
      <c r="O162" s="14">
        <f>N162*VLOOKUP('Données projet'!$B$9,Paramètres!$A$1:$I$89,3,0)*VLOOKUP('Données projet'!$B$9,Paramètres!$A$1:$I$89,5,0)</f>
        <v>1.0818439477588981E-13</v>
      </c>
      <c r="P162" s="14">
        <f t="shared" si="141"/>
        <v>1.6104228458716316E-12</v>
      </c>
      <c r="Q162" s="22">
        <f t="shared" si="162"/>
        <v>2.9932409441277661E-12</v>
      </c>
      <c r="R162" s="60">
        <f t="shared" si="109"/>
        <v>293.33333333333633</v>
      </c>
      <c r="S162" s="60">
        <f ca="1">AVERAGE(OFFSET($R$3,0,0,'Données projet'!$E$9+1,1))-AVERAGE(OFFSET($H$3,0,0,'Données projet'!$E$9+1,1))</f>
        <v>403.49781966317852</v>
      </c>
      <c r="T162" s="60">
        <f t="shared" si="142"/>
        <v>326.06674572505409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0</v>
      </c>
      <c r="AA162" s="23">
        <f>EXP(-LN(2)/25)*AA161+(1-EXP(-LN(2)/25))/(LN(2)/25)*Calculateur!V162*Calculateur!X162*VLOOKUP('Données projet'!$B$9,Paramètres!$A$1:$I$89,3,0)*0.475*44/12</f>
        <v>0</v>
      </c>
      <c r="AB162" s="23">
        <f>EXP(-LN(2)/2)*AB161+(1-EXP(-LN(2)/2))/(LN(2)/2)*V162*Y162*VLOOKUP('Données projet'!$B$9,Paramètres!$A$1:$I$89,3,0)*0.475*44/12</f>
        <v>0</v>
      </c>
      <c r="AC162" s="24">
        <f t="shared" si="163"/>
        <v>0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-1.1368683772161603E-13</v>
      </c>
      <c r="AJ162" s="14">
        <f>AI162*VLOOKUP('Données projet'!$B$10,Paramètres!$A$1:$I$89,3,0)*VLOOKUP('Données projet'!$B$10,Paramètres!$A$1:$I$89,5,0)</f>
        <v>-9.9316821433603781E-14</v>
      </c>
      <c r="AK162" s="14" t="e">
        <f t="shared" si="164"/>
        <v>#NUM!</v>
      </c>
      <c r="AL162" s="22" t="e">
        <f t="shared" si="165"/>
        <v>#NUM!</v>
      </c>
      <c r="AM162" s="60" t="e">
        <f t="shared" si="113"/>
        <v>#NUM!</v>
      </c>
      <c r="AN162" s="60">
        <f ca="1">AVERAGE(OFFSET($AM$3,0,0,'Données projet'!$E$10+1,1))-AVERAGE(OFFSET($H$3,0,0,'Données projet'!$E$10+1,1))</f>
        <v>274.66236526869056</v>
      </c>
      <c r="AO162" s="60">
        <f t="shared" si="144"/>
        <v>256.90876395053073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>
        <f>EXP(-LN(2)/35)*AU161+(1-EXP(-LN(2)/35))/(LN(2)/35)*AQ162*AR162*VLOOKUP('Données projet'!$B$10,Paramètres!$A$1:$I$89,3,0)*0.475*44/12</f>
        <v>0</v>
      </c>
      <c r="AV162" s="23">
        <f>EXP(-LN(2)/25)*AV161+(1-EXP(-LN(2)/25))/(LN(2)/25)*Calculateur!AQ162*Calculateur!AS162*VLOOKUP('Données projet'!$B$10,Paramètres!$A$1:$I$89,3,0)*0.475*44/12</f>
        <v>0</v>
      </c>
      <c r="AW162" s="23">
        <f>EXP(-LN(2)/2)*AW161+(1-EXP(-LN(2)/2))/(LN(2)/2)*AQ162*AT162*VLOOKUP('Données projet'!$B$10,Paramètres!$A$1:$I$89,3,0)*0.475*44/12</f>
        <v>0</v>
      </c>
      <c r="AX162" s="23">
        <f t="shared" si="166"/>
        <v>0</v>
      </c>
      <c r="AY162" s="76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-1.1368683772161603E-13</v>
      </c>
      <c r="BE162" s="14">
        <f>BD162*VLOOKUP('Données projet'!$B$11,Paramètres!$A$1:$I$89,3,0)*VLOOKUP('Données projet'!$B$11,Paramètres!$A$1:$I$89,5,0)</f>
        <v>-1.0286385077051818E-13</v>
      </c>
      <c r="BF162" s="14" t="e">
        <f t="shared" si="167"/>
        <v>#NUM!</v>
      </c>
      <c r="BG162" s="22" t="e">
        <f t="shared" si="168"/>
        <v>#NUM!</v>
      </c>
      <c r="BH162" s="60" t="e">
        <f t="shared" si="116"/>
        <v>#NUM!</v>
      </c>
      <c r="BI162" s="60">
        <f ca="1">AVERAGE(OFFSET($BH$3,0,0,'Données projet'!$E$11+1,1))-AVERAGE(OFFSET($H$3,0,0,'Données projet'!$E$11+1,1))</f>
        <v>529.25712986118265</v>
      </c>
      <c r="BJ162" s="60">
        <f t="shared" si="146"/>
        <v>278.21741231699929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>
        <f>EXP(-LN(2)/35)*BP161+(1-EXP(-LN(2)/35))/(LN(2)/35)*BL162*BM162*VLOOKUP('Données projet'!$B$11,Paramètres!$A$1:$I$89,3,0)*0.475*44/12</f>
        <v>0</v>
      </c>
      <c r="BQ162" s="23">
        <f>EXP(-LN(2)/25)*BQ161+(1-EXP(-LN(2)/25))/(LN(2)/25)*Calculateur!BL162*Calculateur!BN162*VLOOKUP('Données projet'!$B$11,Paramètres!$A$1:$I$89,3,0)*0.475*44/12</f>
        <v>0</v>
      </c>
      <c r="BR162" s="23">
        <f>EXP(-LN(2)/2)*BR161+(1-EXP(-LN(2)/2))/(LN(2)/2)*BL162*BO162*VLOOKUP('Données projet'!$B$11,Paramètres!$A$1:$I$89,3,0)*0.475*44/12</f>
        <v>0</v>
      </c>
      <c r="BS162" s="24">
        <f t="shared" si="169"/>
        <v>0</v>
      </c>
      <c r="BT162" s="77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-1.1368683772161603E-13</v>
      </c>
      <c r="BZ162" s="14">
        <f>BY162*VLOOKUP('Données projet'!$B$12,Paramètres!$A$1:$I$89,3,0)*VLOOKUP('Données projet'!$B$12,Paramètres!$A$1:$I$89,5,0)</f>
        <v>-1.1527845344971866E-13</v>
      </c>
      <c r="CA162" s="14" t="e">
        <f t="shared" si="170"/>
        <v>#NUM!</v>
      </c>
      <c r="CB162" s="22" t="e">
        <f t="shared" si="171"/>
        <v>#NUM!</v>
      </c>
      <c r="CC162" s="60" t="e">
        <f t="shared" si="119"/>
        <v>#NUM!</v>
      </c>
      <c r="CD162" s="60">
        <f ca="1">AVERAGE(OFFSET($CC$3,0,0,'Données projet'!$E$12+1,1))-AVERAGE(OFFSET($H$3,0,0,'Données projet'!$E$12+1,1))</f>
        <v>587.74247372331615</v>
      </c>
      <c r="CE162" s="60">
        <f t="shared" si="148"/>
        <v>306.61893266146666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>
        <f>EXP(-LN(2)/35)*CK161+(1-EXP(-LN(2)/35))/(LN(2)/35)*CG162*CH162*VLOOKUP('Données projet'!$B$12,Paramètres!$A$1:$I$89,3,0)*0.475*44/12</f>
        <v>0</v>
      </c>
      <c r="CL162" s="23">
        <f>EXP(-LN(2)/25)*CL161+(1-EXP(-LN(2)/25))/(LN(2)/25)*Calculateur!CG162*Calculateur!CI162*VLOOKUP('Données projet'!$B$12,Paramètres!$A$1:$I$89,3,0)*0.475*44/12</f>
        <v>0</v>
      </c>
      <c r="CM162" s="23">
        <f>EXP(-LN(2)/2)*CM161+(1-EXP(-LN(2)/2))/(LN(2)/2)*CG162*CJ162*VLOOKUP('Données projet'!$B$12,Paramètres!$A$1:$I$89,3,0)*0.475*44/12</f>
        <v>0</v>
      </c>
      <c r="CN162" s="24">
        <f t="shared" si="172"/>
        <v>0</v>
      </c>
      <c r="CO162" s="77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-1.1368683772161603E-13</v>
      </c>
      <c r="CU162" s="18">
        <f>CT162*VLOOKUP('Données projet'!$B$13,Paramètres!$A$1:$I$89,3,0)*VLOOKUP('Données projet'!$B$13,Paramètres!$A$1:$I$89,5,0)</f>
        <v>-1.223725121235475E-13</v>
      </c>
      <c r="CV162" s="14" t="e">
        <f t="shared" si="173"/>
        <v>#NUM!</v>
      </c>
      <c r="CW162" s="22" t="e">
        <f t="shared" si="174"/>
        <v>#NUM!</v>
      </c>
      <c r="CX162" s="60" t="e">
        <f t="shared" si="122"/>
        <v>#NUM!</v>
      </c>
      <c r="CY162" s="60">
        <f ca="1">AVERAGE(OFFSET($CX$3,0,0,'Données projet'!$E$13+1,1))-AVERAGE(OFFSET($H$3,0,0,'Données projet'!$E$13+1,1))</f>
        <v>621.10465023992288</v>
      </c>
      <c r="CZ162" s="60">
        <f t="shared" si="150"/>
        <v>322.81767004794284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>
        <f>EXP(-LN(2)/35)*DF161+(1-EXP(-LN(2)/35))/(LN(2)/35)*DB162*DC162*VLOOKUP('Données projet'!$B$13,Paramètres!$A$1:$I$89,3,0)*0.475*44/12</f>
        <v>0</v>
      </c>
      <c r="DG162" s="23">
        <f>EXP(-LN(2)/25)*DG161+(1-EXP(-LN(2)/25))/(LN(2)/25)*Calculateur!DB162*Calculateur!DD162*VLOOKUP('Données projet'!$B$13,Paramètres!$A$1:$I$89,3,0)*0.475*44/12</f>
        <v>0</v>
      </c>
      <c r="DH162" s="23">
        <f>EXP(-LN(2)/2)*DH161+(1-EXP(-LN(2)/2))/(LN(2)/2)*DB162*DE162*VLOOKUP('Données projet'!$B$13,Paramètres!$A$1:$I$89,3,0)*0.475*44/12</f>
        <v>0</v>
      </c>
      <c r="DI162" s="24">
        <f t="shared" si="175"/>
        <v>0</v>
      </c>
      <c r="DJ162" s="77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-1.1368683772161603E-13</v>
      </c>
      <c r="DP162" s="18">
        <f>DO162*VLOOKUP('Données projet'!$B$14,Paramètres!$A$1:$I$89,3,0)*VLOOKUP('Données projet'!$B$14,Paramètres!$A$1:$I$89,5,0)</f>
        <v>-1.0995790944434703E-13</v>
      </c>
      <c r="DQ162" s="14" t="e">
        <f t="shared" si="176"/>
        <v>#NUM!</v>
      </c>
      <c r="DR162" s="22" t="e">
        <f t="shared" si="177"/>
        <v>#NUM!</v>
      </c>
      <c r="DS162" s="60" t="e">
        <f t="shared" si="125"/>
        <v>#NUM!</v>
      </c>
      <c r="DT162" s="60">
        <f ca="1">AVERAGE(OFFSET($DS$3,0,0,'Données projet'!$E$14+1,1))-AVERAGE(OFFSET($H$3,0,0,'Données projet'!$E$14+1,1))</f>
        <v>562.69380557620775</v>
      </c>
      <c r="DU162" s="60">
        <f t="shared" si="152"/>
        <v>294.45557293177131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>
        <f>EXP(-LN(2)/35)*EA161+(1-EXP(-LN(2)/35))/(LN(2)/35)*DW162*DX162*VLOOKUP('Données projet'!$B$14,Paramètres!$A$1:$I$89,3,0)*0.475*44/12</f>
        <v>0</v>
      </c>
      <c r="EB162" s="23">
        <f>EXP(-LN(2)/25)*EB161+(1-EXP(-LN(2)/25))/(LN(2)/25)*Calculateur!DW162*Calculateur!DY162*VLOOKUP('Données projet'!$B$14,Paramètres!$A$1:$I$89,3,0)*0.475*44/12</f>
        <v>0</v>
      </c>
      <c r="EC162" s="23">
        <f>EXP(-LN(2)/2)*EC161+(1-EXP(-LN(2)/2))/(LN(2)/2)*DW162*DZ162*VLOOKUP('Données projet'!$B$14,Paramètres!$A$1:$I$89,3,0)*0.475*44/12</f>
        <v>0</v>
      </c>
      <c r="ED162" s="24">
        <f t="shared" si="178"/>
        <v>0</v>
      </c>
      <c r="EE162" s="77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1.1368683772161603E-13</v>
      </c>
      <c r="EK162" s="18">
        <f>EJ162*VLOOKUP('Données projet'!$B$15,Paramètres!$A$1:$I$89,3,0)*VLOOKUP('Données projet'!$B$15,Paramètres!$A$1:$I$89,5,0)</f>
        <v>8.8675733422860506E-14</v>
      </c>
      <c r="EL162" s="14">
        <f t="shared" si="179"/>
        <v>1.3509285393066301E-12</v>
      </c>
      <c r="EM162" s="22">
        <f t="shared" si="180"/>
        <v>2.5073107750038623E-12</v>
      </c>
      <c r="EN162" s="60">
        <f t="shared" si="128"/>
        <v>293.33333333333582</v>
      </c>
      <c r="EO162" s="60">
        <f ca="1">AVERAGE(OFFSET($EN$3,0,0,'Données projet'!$E$15+1,1))-AVERAGE(OFFSET($H$3,0,0,'Données projet'!$E$15+1,1))</f>
        <v>292.57482726862594</v>
      </c>
      <c r="EP162" s="60">
        <f t="shared" si="154"/>
        <v>283.48738729114024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>
        <f>EXP(-LN(2)/35)*EV161+(1-EXP(-LN(2)/35))/(LN(2)/35)*ER162*ES162*VLOOKUP('Données projet'!$B$15,Paramètres!$A$1:$I$89,3,0)*0.475*44/12</f>
        <v>0</v>
      </c>
      <c r="EW162" s="23">
        <f>EXP(-LN(2)/25)*EW161+(1-EXP(-LN(2)/25))/(LN(2)/25)*Calculateur!ER162*Calculateur!ET162*VLOOKUP('Données projet'!$B$15,Paramètres!$A$1:$I$89,3,0)*0.475*44/12</f>
        <v>0</v>
      </c>
      <c r="EX162" s="23">
        <f>EXP(-LN(2)/2)*EX161+(1-EXP(-LN(2)/2))/(LN(2)/2)*ER162*EU162*VLOOKUP('Données projet'!$B$15,Paramètres!$A$1:$I$89,3,0)*0.475*44/12</f>
        <v>0</v>
      </c>
      <c r="EY162" s="24">
        <f t="shared" si="181"/>
        <v>0</v>
      </c>
      <c r="EZ162" s="77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0" t="e">
        <f t="shared" si="131"/>
        <v>#N/A</v>
      </c>
      <c r="FJ162" s="60" t="e">
        <f ca="1">AVERAGE(OFFSET($FI$3,0,0,'Données projet'!$E$16+1,1))-AVERAGE(OFFSET($H$3,0,0,'Données projet'!$E$16+1,1))</f>
        <v>#N/A</v>
      </c>
      <c r="FK162" s="60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77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0" t="e">
        <f t="shared" si="134"/>
        <v>#N/A</v>
      </c>
      <c r="GE162" s="60" t="e">
        <f ca="1">AVERAGE(OFFSET($GD$3,0,0,'Données projet'!$E$17+1,1))-AVERAGE(OFFSET($H$3,0,0,'Données projet'!$E$17+1,1))</f>
        <v>#N/A</v>
      </c>
      <c r="GF162" s="60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77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0" t="e">
        <f t="shared" si="137"/>
        <v>#N/A</v>
      </c>
      <c r="GZ162" s="60" t="e">
        <f ca="1">AVERAGE(OFFSET($GY$3,0,0,'Données projet'!$E$18+1,1))-AVERAGE(OFFSET($H$3,0,0,'Données projet'!$E$18+1,1))</f>
        <v>#N/A</v>
      </c>
      <c r="HA162" s="60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25">
      <c r="A163" s="11">
        <f t="shared" si="161"/>
        <v>160</v>
      </c>
      <c r="B163" s="74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2">
        <f t="shared" si="140"/>
        <v>0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0</v>
      </c>
      <c r="H163" s="67">
        <f t="shared" si="110"/>
        <v>256.66666666666669</v>
      </c>
      <c r="I163" s="7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1.1368683772161603E-13</v>
      </c>
      <c r="O163" s="14">
        <f>N163*VLOOKUP('Données projet'!$B$9,Paramètres!$A$1:$I$89,3,0)*VLOOKUP('Données projet'!$B$9,Paramètres!$A$1:$I$89,5,0)</f>
        <v>1.0818439477588981E-13</v>
      </c>
      <c r="P163" s="14">
        <f t="shared" si="141"/>
        <v>1.6104228458716316E-12</v>
      </c>
      <c r="Q163" s="22">
        <f t="shared" si="162"/>
        <v>2.9932409441277661E-12</v>
      </c>
      <c r="R163" s="60">
        <f t="shared" si="109"/>
        <v>293.33333333333633</v>
      </c>
      <c r="S163" s="60">
        <f ca="1">AVERAGE(OFFSET($R$3,0,0,'Données projet'!$E$9+1,1))-AVERAGE(OFFSET($H$3,0,0,'Données projet'!$E$9+1,1))</f>
        <v>403.49781966317852</v>
      </c>
      <c r="T163" s="60">
        <f t="shared" si="142"/>
        <v>326.06674572505409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0</v>
      </c>
      <c r="AA163" s="23">
        <f>EXP(-LN(2)/25)*AA162+(1-EXP(-LN(2)/25))/(LN(2)/25)*Calculateur!V163*Calculateur!X163*VLOOKUP('Données projet'!$B$9,Paramètres!$A$1:$I$89,3,0)*0.475*44/12</f>
        <v>0</v>
      </c>
      <c r="AB163" s="23">
        <f>EXP(-LN(2)/2)*AB162+(1-EXP(-LN(2)/2))/(LN(2)/2)*V163*Y163*VLOOKUP('Données projet'!$B$9,Paramètres!$A$1:$I$89,3,0)*0.475*44/12</f>
        <v>0</v>
      </c>
      <c r="AC163" s="24">
        <f t="shared" si="163"/>
        <v>0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-1.1368683772161603E-13</v>
      </c>
      <c r="AJ163" s="14">
        <f>AI163*VLOOKUP('Données projet'!$B$10,Paramètres!$A$1:$I$89,3,0)*VLOOKUP('Données projet'!$B$10,Paramètres!$A$1:$I$89,5,0)</f>
        <v>-9.9316821433603781E-14</v>
      </c>
      <c r="AK163" s="14" t="e">
        <f t="shared" si="164"/>
        <v>#NUM!</v>
      </c>
      <c r="AL163" s="22" t="e">
        <f t="shared" si="165"/>
        <v>#NUM!</v>
      </c>
      <c r="AM163" s="60" t="e">
        <f t="shared" si="113"/>
        <v>#NUM!</v>
      </c>
      <c r="AN163" s="60">
        <f ca="1">AVERAGE(OFFSET($AM$3,0,0,'Données projet'!$E$10+1,1))-AVERAGE(OFFSET($H$3,0,0,'Données projet'!$E$10+1,1))</f>
        <v>274.66236526869056</v>
      </c>
      <c r="AO163" s="60">
        <f t="shared" si="144"/>
        <v>256.90876395053073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>
        <f>EXP(-LN(2)/35)*AU162+(1-EXP(-LN(2)/35))/(LN(2)/35)*AQ163*AR163*VLOOKUP('Données projet'!$B$10,Paramètres!$A$1:$I$89,3,0)*0.475*44/12</f>
        <v>0</v>
      </c>
      <c r="AV163" s="23">
        <f>EXP(-LN(2)/25)*AV162+(1-EXP(-LN(2)/25))/(LN(2)/25)*Calculateur!AQ163*Calculateur!AS163*VLOOKUP('Données projet'!$B$10,Paramètres!$A$1:$I$89,3,0)*0.475*44/12</f>
        <v>0</v>
      </c>
      <c r="AW163" s="23">
        <f>EXP(-LN(2)/2)*AW162+(1-EXP(-LN(2)/2))/(LN(2)/2)*AQ163*AT163*VLOOKUP('Données projet'!$B$10,Paramètres!$A$1:$I$89,3,0)*0.475*44/12</f>
        <v>0</v>
      </c>
      <c r="AX163" s="23">
        <f t="shared" si="166"/>
        <v>0</v>
      </c>
      <c r="AY163" s="76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-1.1368683772161603E-13</v>
      </c>
      <c r="BE163" s="14">
        <f>BD163*VLOOKUP('Données projet'!$B$11,Paramètres!$A$1:$I$89,3,0)*VLOOKUP('Données projet'!$B$11,Paramètres!$A$1:$I$89,5,0)</f>
        <v>-1.0286385077051818E-13</v>
      </c>
      <c r="BF163" s="14" t="e">
        <f t="shared" si="167"/>
        <v>#NUM!</v>
      </c>
      <c r="BG163" s="22" t="e">
        <f t="shared" si="168"/>
        <v>#NUM!</v>
      </c>
      <c r="BH163" s="60" t="e">
        <f t="shared" si="116"/>
        <v>#NUM!</v>
      </c>
      <c r="BI163" s="60">
        <f ca="1">AVERAGE(OFFSET($BH$3,0,0,'Données projet'!$E$11+1,1))-AVERAGE(OFFSET($H$3,0,0,'Données projet'!$E$11+1,1))</f>
        <v>529.25712986118265</v>
      </c>
      <c r="BJ163" s="60">
        <f t="shared" si="146"/>
        <v>278.21741231699929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>
        <f>EXP(-LN(2)/35)*BP162+(1-EXP(-LN(2)/35))/(LN(2)/35)*BL163*BM163*VLOOKUP('Données projet'!$B$11,Paramètres!$A$1:$I$89,3,0)*0.475*44/12</f>
        <v>0</v>
      </c>
      <c r="BQ163" s="23">
        <f>EXP(-LN(2)/25)*BQ162+(1-EXP(-LN(2)/25))/(LN(2)/25)*Calculateur!BL163*Calculateur!BN163*VLOOKUP('Données projet'!$B$11,Paramètres!$A$1:$I$89,3,0)*0.475*44/12</f>
        <v>0</v>
      </c>
      <c r="BR163" s="23">
        <f>EXP(-LN(2)/2)*BR162+(1-EXP(-LN(2)/2))/(LN(2)/2)*BL163*BO163*VLOOKUP('Données projet'!$B$11,Paramètres!$A$1:$I$89,3,0)*0.475*44/12</f>
        <v>0</v>
      </c>
      <c r="BS163" s="24">
        <f t="shared" si="169"/>
        <v>0</v>
      </c>
      <c r="BT163" s="77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-1.1368683772161603E-13</v>
      </c>
      <c r="BZ163" s="14">
        <f>BY163*VLOOKUP('Données projet'!$B$12,Paramètres!$A$1:$I$89,3,0)*VLOOKUP('Données projet'!$B$12,Paramètres!$A$1:$I$89,5,0)</f>
        <v>-1.1527845344971866E-13</v>
      </c>
      <c r="CA163" s="14" t="e">
        <f t="shared" si="170"/>
        <v>#NUM!</v>
      </c>
      <c r="CB163" s="22" t="e">
        <f t="shared" si="171"/>
        <v>#NUM!</v>
      </c>
      <c r="CC163" s="60" t="e">
        <f t="shared" si="119"/>
        <v>#NUM!</v>
      </c>
      <c r="CD163" s="60">
        <f ca="1">AVERAGE(OFFSET($CC$3,0,0,'Données projet'!$E$12+1,1))-AVERAGE(OFFSET($H$3,0,0,'Données projet'!$E$12+1,1))</f>
        <v>587.74247372331615</v>
      </c>
      <c r="CE163" s="60">
        <f t="shared" si="148"/>
        <v>306.61893266146666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>
        <f>EXP(-LN(2)/35)*CK162+(1-EXP(-LN(2)/35))/(LN(2)/35)*CG163*CH163*VLOOKUP('Données projet'!$B$12,Paramètres!$A$1:$I$89,3,0)*0.475*44/12</f>
        <v>0</v>
      </c>
      <c r="CL163" s="23">
        <f>EXP(-LN(2)/25)*CL162+(1-EXP(-LN(2)/25))/(LN(2)/25)*Calculateur!CG163*Calculateur!CI163*VLOOKUP('Données projet'!$B$12,Paramètres!$A$1:$I$89,3,0)*0.475*44/12</f>
        <v>0</v>
      </c>
      <c r="CM163" s="23">
        <f>EXP(-LN(2)/2)*CM162+(1-EXP(-LN(2)/2))/(LN(2)/2)*CG163*CJ163*VLOOKUP('Données projet'!$B$12,Paramètres!$A$1:$I$89,3,0)*0.475*44/12</f>
        <v>0</v>
      </c>
      <c r="CN163" s="24">
        <f t="shared" si="172"/>
        <v>0</v>
      </c>
      <c r="CO163" s="77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-1.1368683772161603E-13</v>
      </c>
      <c r="CU163" s="18">
        <f>CT163*VLOOKUP('Données projet'!$B$13,Paramètres!$A$1:$I$89,3,0)*VLOOKUP('Données projet'!$B$13,Paramètres!$A$1:$I$89,5,0)</f>
        <v>-1.223725121235475E-13</v>
      </c>
      <c r="CV163" s="14" t="e">
        <f t="shared" si="173"/>
        <v>#NUM!</v>
      </c>
      <c r="CW163" s="22" t="e">
        <f t="shared" si="174"/>
        <v>#NUM!</v>
      </c>
      <c r="CX163" s="60" t="e">
        <f t="shared" si="122"/>
        <v>#NUM!</v>
      </c>
      <c r="CY163" s="60">
        <f ca="1">AVERAGE(OFFSET($CX$3,0,0,'Données projet'!$E$13+1,1))-AVERAGE(OFFSET($H$3,0,0,'Données projet'!$E$13+1,1))</f>
        <v>621.10465023992288</v>
      </c>
      <c r="CZ163" s="60">
        <f t="shared" si="150"/>
        <v>322.81767004794284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>
        <f>EXP(-LN(2)/35)*DF162+(1-EXP(-LN(2)/35))/(LN(2)/35)*DB163*DC163*VLOOKUP('Données projet'!$B$13,Paramètres!$A$1:$I$89,3,0)*0.475*44/12</f>
        <v>0</v>
      </c>
      <c r="DG163" s="23">
        <f>EXP(-LN(2)/25)*DG162+(1-EXP(-LN(2)/25))/(LN(2)/25)*Calculateur!DB163*Calculateur!DD163*VLOOKUP('Données projet'!$B$13,Paramètres!$A$1:$I$89,3,0)*0.475*44/12</f>
        <v>0</v>
      </c>
      <c r="DH163" s="23">
        <f>EXP(-LN(2)/2)*DH162+(1-EXP(-LN(2)/2))/(LN(2)/2)*DB163*DE163*VLOOKUP('Données projet'!$B$13,Paramètres!$A$1:$I$89,3,0)*0.475*44/12</f>
        <v>0</v>
      </c>
      <c r="DI163" s="24">
        <f t="shared" si="175"/>
        <v>0</v>
      </c>
      <c r="DJ163" s="77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-1.1368683772161603E-13</v>
      </c>
      <c r="DP163" s="18">
        <f>DO163*VLOOKUP('Données projet'!$B$14,Paramètres!$A$1:$I$89,3,0)*VLOOKUP('Données projet'!$B$14,Paramètres!$A$1:$I$89,5,0)</f>
        <v>-1.0995790944434703E-13</v>
      </c>
      <c r="DQ163" s="14" t="e">
        <f t="shared" si="176"/>
        <v>#NUM!</v>
      </c>
      <c r="DR163" s="22" t="e">
        <f t="shared" si="177"/>
        <v>#NUM!</v>
      </c>
      <c r="DS163" s="60" t="e">
        <f t="shared" si="125"/>
        <v>#NUM!</v>
      </c>
      <c r="DT163" s="60">
        <f ca="1">AVERAGE(OFFSET($DS$3,0,0,'Données projet'!$E$14+1,1))-AVERAGE(OFFSET($H$3,0,0,'Données projet'!$E$14+1,1))</f>
        <v>562.69380557620775</v>
      </c>
      <c r="DU163" s="60">
        <f t="shared" si="152"/>
        <v>294.45557293177131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>
        <f>EXP(-LN(2)/35)*EA162+(1-EXP(-LN(2)/35))/(LN(2)/35)*DW163*DX163*VLOOKUP('Données projet'!$B$14,Paramètres!$A$1:$I$89,3,0)*0.475*44/12</f>
        <v>0</v>
      </c>
      <c r="EB163" s="23">
        <f>EXP(-LN(2)/25)*EB162+(1-EXP(-LN(2)/25))/(LN(2)/25)*Calculateur!DW163*Calculateur!DY163*VLOOKUP('Données projet'!$B$14,Paramètres!$A$1:$I$89,3,0)*0.475*44/12</f>
        <v>0</v>
      </c>
      <c r="EC163" s="23">
        <f>EXP(-LN(2)/2)*EC162+(1-EXP(-LN(2)/2))/(LN(2)/2)*DW163*DZ163*VLOOKUP('Données projet'!$B$14,Paramètres!$A$1:$I$89,3,0)*0.475*44/12</f>
        <v>0</v>
      </c>
      <c r="ED163" s="24">
        <f t="shared" si="178"/>
        <v>0</v>
      </c>
      <c r="EE163" s="77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1.1368683772161603E-13</v>
      </c>
      <c r="EK163" s="18">
        <f>EJ163*VLOOKUP('Données projet'!$B$15,Paramètres!$A$1:$I$89,3,0)*VLOOKUP('Données projet'!$B$15,Paramètres!$A$1:$I$89,5,0)</f>
        <v>8.8675733422860506E-14</v>
      </c>
      <c r="EL163" s="14">
        <f t="shared" si="179"/>
        <v>1.3509285393066301E-12</v>
      </c>
      <c r="EM163" s="22">
        <f t="shared" si="180"/>
        <v>2.5073107750038623E-12</v>
      </c>
      <c r="EN163" s="60">
        <f t="shared" si="128"/>
        <v>293.33333333333582</v>
      </c>
      <c r="EO163" s="60">
        <f ca="1">AVERAGE(OFFSET($EN$3,0,0,'Données projet'!$E$15+1,1))-AVERAGE(OFFSET($H$3,0,0,'Données projet'!$E$15+1,1))</f>
        <v>292.57482726862594</v>
      </c>
      <c r="EP163" s="60">
        <f t="shared" si="154"/>
        <v>283.48738729114024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>
        <f>EXP(-LN(2)/35)*EV162+(1-EXP(-LN(2)/35))/(LN(2)/35)*ER163*ES163*VLOOKUP('Données projet'!$B$15,Paramètres!$A$1:$I$89,3,0)*0.475*44/12</f>
        <v>0</v>
      </c>
      <c r="EW163" s="23">
        <f>EXP(-LN(2)/25)*EW162+(1-EXP(-LN(2)/25))/(LN(2)/25)*Calculateur!ER163*Calculateur!ET163*VLOOKUP('Données projet'!$B$15,Paramètres!$A$1:$I$89,3,0)*0.475*44/12</f>
        <v>0</v>
      </c>
      <c r="EX163" s="23">
        <f>EXP(-LN(2)/2)*EX162+(1-EXP(-LN(2)/2))/(LN(2)/2)*ER163*EU163*VLOOKUP('Données projet'!$B$15,Paramètres!$A$1:$I$89,3,0)*0.475*44/12</f>
        <v>0</v>
      </c>
      <c r="EY163" s="24">
        <f t="shared" si="181"/>
        <v>0</v>
      </c>
      <c r="EZ163" s="77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0" t="e">
        <f t="shared" si="131"/>
        <v>#N/A</v>
      </c>
      <c r="FJ163" s="60" t="e">
        <f ca="1">AVERAGE(OFFSET($FI$3,0,0,'Données projet'!$E$16+1,1))-AVERAGE(OFFSET($H$3,0,0,'Données projet'!$E$16+1,1))</f>
        <v>#N/A</v>
      </c>
      <c r="FK163" s="60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77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0" t="e">
        <f t="shared" si="134"/>
        <v>#N/A</v>
      </c>
      <c r="GE163" s="60" t="e">
        <f ca="1">AVERAGE(OFFSET($GD$3,0,0,'Données projet'!$E$17+1,1))-AVERAGE(OFFSET($H$3,0,0,'Données projet'!$E$17+1,1))</f>
        <v>#N/A</v>
      </c>
      <c r="GF163" s="60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77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0" t="e">
        <f t="shared" si="137"/>
        <v>#N/A</v>
      </c>
      <c r="GZ163" s="60" t="e">
        <f ca="1">AVERAGE(OFFSET($GY$3,0,0,'Données projet'!$E$18+1,1))-AVERAGE(OFFSET($H$3,0,0,'Données projet'!$E$18+1,1))</f>
        <v>#N/A</v>
      </c>
      <c r="HA163" s="60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25">
      <c r="A164" s="11">
        <f t="shared" si="161"/>
        <v>161</v>
      </c>
      <c r="B164" s="74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2">
        <f t="shared" si="140"/>
        <v>0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0</v>
      </c>
      <c r="H164" s="67">
        <f t="shared" si="110"/>
        <v>256.66666666666669</v>
      </c>
      <c r="I164" s="7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1.1368683772161603E-13</v>
      </c>
      <c r="O164" s="14">
        <f>N164*VLOOKUP('Données projet'!$B$9,Paramètres!$A$1:$I$89,3,0)*VLOOKUP('Données projet'!$B$9,Paramètres!$A$1:$I$89,5,0)</f>
        <v>1.0818439477588981E-13</v>
      </c>
      <c r="P164" s="14">
        <f t="shared" si="141"/>
        <v>1.6104228458716316E-12</v>
      </c>
      <c r="Q164" s="22">
        <f t="shared" si="162"/>
        <v>2.9932409441277661E-12</v>
      </c>
      <c r="R164" s="60">
        <f t="shared" si="109"/>
        <v>293.33333333333633</v>
      </c>
      <c r="S164" s="60">
        <f ca="1">AVERAGE(OFFSET($R$3,0,0,'Données projet'!$E$9+1,1))-AVERAGE(OFFSET($H$3,0,0,'Données projet'!$E$9+1,1))</f>
        <v>403.49781966317852</v>
      </c>
      <c r="T164" s="60">
        <f t="shared" si="142"/>
        <v>326.06674572505409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0</v>
      </c>
      <c r="AA164" s="23">
        <f>EXP(-LN(2)/25)*AA163+(1-EXP(-LN(2)/25))/(LN(2)/25)*Calculateur!V164*Calculateur!X164*VLOOKUP('Données projet'!$B$9,Paramètres!$A$1:$I$89,3,0)*0.475*44/12</f>
        <v>0</v>
      </c>
      <c r="AB164" s="23">
        <f>EXP(-LN(2)/2)*AB163+(1-EXP(-LN(2)/2))/(LN(2)/2)*V164*Y164*VLOOKUP('Données projet'!$B$9,Paramètres!$A$1:$I$89,3,0)*0.475*44/12</f>
        <v>0</v>
      </c>
      <c r="AC164" s="24">
        <f t="shared" si="163"/>
        <v>0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-1.1368683772161603E-13</v>
      </c>
      <c r="AJ164" s="14">
        <f>AI164*VLOOKUP('Données projet'!$B$10,Paramètres!$A$1:$I$89,3,0)*VLOOKUP('Données projet'!$B$10,Paramètres!$A$1:$I$89,5,0)</f>
        <v>-9.9316821433603781E-14</v>
      </c>
      <c r="AK164" s="14" t="e">
        <f t="shared" si="164"/>
        <v>#NUM!</v>
      </c>
      <c r="AL164" s="22" t="e">
        <f t="shared" si="165"/>
        <v>#NUM!</v>
      </c>
      <c r="AM164" s="60" t="e">
        <f t="shared" si="113"/>
        <v>#NUM!</v>
      </c>
      <c r="AN164" s="60">
        <f ca="1">AVERAGE(OFFSET($AM$3,0,0,'Données projet'!$E$10+1,1))-AVERAGE(OFFSET($H$3,0,0,'Données projet'!$E$10+1,1))</f>
        <v>274.66236526869056</v>
      </c>
      <c r="AO164" s="60">
        <f t="shared" si="144"/>
        <v>256.90876395053073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>
        <f>EXP(-LN(2)/35)*AU163+(1-EXP(-LN(2)/35))/(LN(2)/35)*AQ164*AR164*VLOOKUP('Données projet'!$B$10,Paramètres!$A$1:$I$89,3,0)*0.475*44/12</f>
        <v>0</v>
      </c>
      <c r="AV164" s="23">
        <f>EXP(-LN(2)/25)*AV163+(1-EXP(-LN(2)/25))/(LN(2)/25)*Calculateur!AQ164*Calculateur!AS164*VLOOKUP('Données projet'!$B$10,Paramètres!$A$1:$I$89,3,0)*0.475*44/12</f>
        <v>0</v>
      </c>
      <c r="AW164" s="23">
        <f>EXP(-LN(2)/2)*AW163+(1-EXP(-LN(2)/2))/(LN(2)/2)*AQ164*AT164*VLOOKUP('Données projet'!$B$10,Paramètres!$A$1:$I$89,3,0)*0.475*44/12</f>
        <v>0</v>
      </c>
      <c r="AX164" s="23">
        <f t="shared" si="166"/>
        <v>0</v>
      </c>
      <c r="AY164" s="76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-1.1368683772161603E-13</v>
      </c>
      <c r="BE164" s="14">
        <f>BD164*VLOOKUP('Données projet'!$B$11,Paramètres!$A$1:$I$89,3,0)*VLOOKUP('Données projet'!$B$11,Paramètres!$A$1:$I$89,5,0)</f>
        <v>-1.0286385077051818E-13</v>
      </c>
      <c r="BF164" s="14" t="e">
        <f t="shared" si="167"/>
        <v>#NUM!</v>
      </c>
      <c r="BG164" s="22" t="e">
        <f t="shared" si="168"/>
        <v>#NUM!</v>
      </c>
      <c r="BH164" s="60" t="e">
        <f t="shared" si="116"/>
        <v>#NUM!</v>
      </c>
      <c r="BI164" s="60">
        <f ca="1">AVERAGE(OFFSET($BH$3,0,0,'Données projet'!$E$11+1,1))-AVERAGE(OFFSET($H$3,0,0,'Données projet'!$E$11+1,1))</f>
        <v>529.25712986118265</v>
      </c>
      <c r="BJ164" s="60">
        <f t="shared" si="146"/>
        <v>278.21741231699929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>
        <f>EXP(-LN(2)/35)*BP163+(1-EXP(-LN(2)/35))/(LN(2)/35)*BL164*BM164*VLOOKUP('Données projet'!$B$11,Paramètres!$A$1:$I$89,3,0)*0.475*44/12</f>
        <v>0</v>
      </c>
      <c r="BQ164" s="23">
        <f>EXP(-LN(2)/25)*BQ163+(1-EXP(-LN(2)/25))/(LN(2)/25)*Calculateur!BL164*Calculateur!BN164*VLOOKUP('Données projet'!$B$11,Paramètres!$A$1:$I$89,3,0)*0.475*44/12</f>
        <v>0</v>
      </c>
      <c r="BR164" s="23">
        <f>EXP(-LN(2)/2)*BR163+(1-EXP(-LN(2)/2))/(LN(2)/2)*BL164*BO164*VLOOKUP('Données projet'!$B$11,Paramètres!$A$1:$I$89,3,0)*0.475*44/12</f>
        <v>0</v>
      </c>
      <c r="BS164" s="24">
        <f t="shared" si="169"/>
        <v>0</v>
      </c>
      <c r="BT164" s="77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-1.1368683772161603E-13</v>
      </c>
      <c r="BZ164" s="14">
        <f>BY164*VLOOKUP('Données projet'!$B$12,Paramètres!$A$1:$I$89,3,0)*VLOOKUP('Données projet'!$B$12,Paramètres!$A$1:$I$89,5,0)</f>
        <v>-1.1527845344971866E-13</v>
      </c>
      <c r="CA164" s="14" t="e">
        <f t="shared" si="170"/>
        <v>#NUM!</v>
      </c>
      <c r="CB164" s="22" t="e">
        <f t="shared" si="171"/>
        <v>#NUM!</v>
      </c>
      <c r="CC164" s="60" t="e">
        <f t="shared" si="119"/>
        <v>#NUM!</v>
      </c>
      <c r="CD164" s="60">
        <f ca="1">AVERAGE(OFFSET($CC$3,0,0,'Données projet'!$E$12+1,1))-AVERAGE(OFFSET($H$3,0,0,'Données projet'!$E$12+1,1))</f>
        <v>587.74247372331615</v>
      </c>
      <c r="CE164" s="60">
        <f t="shared" si="148"/>
        <v>306.61893266146666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>
        <f>EXP(-LN(2)/35)*CK163+(1-EXP(-LN(2)/35))/(LN(2)/35)*CG164*CH164*VLOOKUP('Données projet'!$B$12,Paramètres!$A$1:$I$89,3,0)*0.475*44/12</f>
        <v>0</v>
      </c>
      <c r="CL164" s="23">
        <f>EXP(-LN(2)/25)*CL163+(1-EXP(-LN(2)/25))/(LN(2)/25)*Calculateur!CG164*Calculateur!CI164*VLOOKUP('Données projet'!$B$12,Paramètres!$A$1:$I$89,3,0)*0.475*44/12</f>
        <v>0</v>
      </c>
      <c r="CM164" s="23">
        <f>EXP(-LN(2)/2)*CM163+(1-EXP(-LN(2)/2))/(LN(2)/2)*CG164*CJ164*VLOOKUP('Données projet'!$B$12,Paramètres!$A$1:$I$89,3,0)*0.475*44/12</f>
        <v>0</v>
      </c>
      <c r="CN164" s="24">
        <f t="shared" si="172"/>
        <v>0</v>
      </c>
      <c r="CO164" s="77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-1.1368683772161603E-13</v>
      </c>
      <c r="CU164" s="18">
        <f>CT164*VLOOKUP('Données projet'!$B$13,Paramètres!$A$1:$I$89,3,0)*VLOOKUP('Données projet'!$B$13,Paramètres!$A$1:$I$89,5,0)</f>
        <v>-1.223725121235475E-13</v>
      </c>
      <c r="CV164" s="14" t="e">
        <f t="shared" si="173"/>
        <v>#NUM!</v>
      </c>
      <c r="CW164" s="22" t="e">
        <f t="shared" si="174"/>
        <v>#NUM!</v>
      </c>
      <c r="CX164" s="60" t="e">
        <f t="shared" si="122"/>
        <v>#NUM!</v>
      </c>
      <c r="CY164" s="60">
        <f ca="1">AVERAGE(OFFSET($CX$3,0,0,'Données projet'!$E$13+1,1))-AVERAGE(OFFSET($H$3,0,0,'Données projet'!$E$13+1,1))</f>
        <v>621.10465023992288</v>
      </c>
      <c r="CZ164" s="60">
        <f t="shared" si="150"/>
        <v>322.81767004794284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>
        <f>EXP(-LN(2)/35)*DF163+(1-EXP(-LN(2)/35))/(LN(2)/35)*DB164*DC164*VLOOKUP('Données projet'!$B$13,Paramètres!$A$1:$I$89,3,0)*0.475*44/12</f>
        <v>0</v>
      </c>
      <c r="DG164" s="23">
        <f>EXP(-LN(2)/25)*DG163+(1-EXP(-LN(2)/25))/(LN(2)/25)*Calculateur!DB164*Calculateur!DD164*VLOOKUP('Données projet'!$B$13,Paramètres!$A$1:$I$89,3,0)*0.475*44/12</f>
        <v>0</v>
      </c>
      <c r="DH164" s="23">
        <f>EXP(-LN(2)/2)*DH163+(1-EXP(-LN(2)/2))/(LN(2)/2)*DB164*DE164*VLOOKUP('Données projet'!$B$13,Paramètres!$A$1:$I$89,3,0)*0.475*44/12</f>
        <v>0</v>
      </c>
      <c r="DI164" s="24">
        <f t="shared" si="175"/>
        <v>0</v>
      </c>
      <c r="DJ164" s="77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-1.1368683772161603E-13</v>
      </c>
      <c r="DP164" s="18">
        <f>DO164*VLOOKUP('Données projet'!$B$14,Paramètres!$A$1:$I$89,3,0)*VLOOKUP('Données projet'!$B$14,Paramètres!$A$1:$I$89,5,0)</f>
        <v>-1.0995790944434703E-13</v>
      </c>
      <c r="DQ164" s="14" t="e">
        <f t="shared" si="176"/>
        <v>#NUM!</v>
      </c>
      <c r="DR164" s="22" t="e">
        <f t="shared" si="177"/>
        <v>#NUM!</v>
      </c>
      <c r="DS164" s="60" t="e">
        <f t="shared" si="125"/>
        <v>#NUM!</v>
      </c>
      <c r="DT164" s="60">
        <f ca="1">AVERAGE(OFFSET($DS$3,0,0,'Données projet'!$E$14+1,1))-AVERAGE(OFFSET($H$3,0,0,'Données projet'!$E$14+1,1))</f>
        <v>562.69380557620775</v>
      </c>
      <c r="DU164" s="60">
        <f t="shared" si="152"/>
        <v>294.45557293177131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>
        <f>EXP(-LN(2)/35)*EA163+(1-EXP(-LN(2)/35))/(LN(2)/35)*DW164*DX164*VLOOKUP('Données projet'!$B$14,Paramètres!$A$1:$I$89,3,0)*0.475*44/12</f>
        <v>0</v>
      </c>
      <c r="EB164" s="23">
        <f>EXP(-LN(2)/25)*EB163+(1-EXP(-LN(2)/25))/(LN(2)/25)*Calculateur!DW164*Calculateur!DY164*VLOOKUP('Données projet'!$B$14,Paramètres!$A$1:$I$89,3,0)*0.475*44/12</f>
        <v>0</v>
      </c>
      <c r="EC164" s="23">
        <f>EXP(-LN(2)/2)*EC163+(1-EXP(-LN(2)/2))/(LN(2)/2)*DW164*DZ164*VLOOKUP('Données projet'!$B$14,Paramètres!$A$1:$I$89,3,0)*0.475*44/12</f>
        <v>0</v>
      </c>
      <c r="ED164" s="24">
        <f t="shared" si="178"/>
        <v>0</v>
      </c>
      <c r="EE164" s="77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1.1368683772161603E-13</v>
      </c>
      <c r="EK164" s="18">
        <f>EJ164*VLOOKUP('Données projet'!$B$15,Paramètres!$A$1:$I$89,3,0)*VLOOKUP('Données projet'!$B$15,Paramètres!$A$1:$I$89,5,0)</f>
        <v>8.8675733422860506E-14</v>
      </c>
      <c r="EL164" s="14">
        <f t="shared" si="179"/>
        <v>1.3509285393066301E-12</v>
      </c>
      <c r="EM164" s="22">
        <f t="shared" si="180"/>
        <v>2.5073107750038623E-12</v>
      </c>
      <c r="EN164" s="60">
        <f t="shared" si="128"/>
        <v>293.33333333333582</v>
      </c>
      <c r="EO164" s="60">
        <f ca="1">AVERAGE(OFFSET($EN$3,0,0,'Données projet'!$E$15+1,1))-AVERAGE(OFFSET($H$3,0,0,'Données projet'!$E$15+1,1))</f>
        <v>292.57482726862594</v>
      </c>
      <c r="EP164" s="60">
        <f t="shared" si="154"/>
        <v>283.48738729114024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>
        <f>EXP(-LN(2)/35)*EV163+(1-EXP(-LN(2)/35))/(LN(2)/35)*ER164*ES164*VLOOKUP('Données projet'!$B$15,Paramètres!$A$1:$I$89,3,0)*0.475*44/12</f>
        <v>0</v>
      </c>
      <c r="EW164" s="23">
        <f>EXP(-LN(2)/25)*EW163+(1-EXP(-LN(2)/25))/(LN(2)/25)*Calculateur!ER164*Calculateur!ET164*VLOOKUP('Données projet'!$B$15,Paramètres!$A$1:$I$89,3,0)*0.475*44/12</f>
        <v>0</v>
      </c>
      <c r="EX164" s="23">
        <f>EXP(-LN(2)/2)*EX163+(1-EXP(-LN(2)/2))/(LN(2)/2)*ER164*EU164*VLOOKUP('Données projet'!$B$15,Paramètres!$A$1:$I$89,3,0)*0.475*44/12</f>
        <v>0</v>
      </c>
      <c r="EY164" s="24">
        <f t="shared" si="181"/>
        <v>0</v>
      </c>
      <c r="EZ164" s="77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0" t="e">
        <f t="shared" si="131"/>
        <v>#N/A</v>
      </c>
      <c r="FJ164" s="60" t="e">
        <f ca="1">AVERAGE(OFFSET($FI$3,0,0,'Données projet'!$E$16+1,1))-AVERAGE(OFFSET($H$3,0,0,'Données projet'!$E$16+1,1))</f>
        <v>#N/A</v>
      </c>
      <c r="FK164" s="60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77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0" t="e">
        <f t="shared" si="134"/>
        <v>#N/A</v>
      </c>
      <c r="GE164" s="60" t="e">
        <f ca="1">AVERAGE(OFFSET($GD$3,0,0,'Données projet'!$E$17+1,1))-AVERAGE(OFFSET($H$3,0,0,'Données projet'!$E$17+1,1))</f>
        <v>#N/A</v>
      </c>
      <c r="GF164" s="60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77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0" t="e">
        <f t="shared" si="137"/>
        <v>#N/A</v>
      </c>
      <c r="GZ164" s="60" t="e">
        <f ca="1">AVERAGE(OFFSET($GY$3,0,0,'Données projet'!$E$18+1,1))-AVERAGE(OFFSET($H$3,0,0,'Données projet'!$E$18+1,1))</f>
        <v>#N/A</v>
      </c>
      <c r="HA164" s="60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25">
      <c r="A165" s="11">
        <f t="shared" si="161"/>
        <v>162</v>
      </c>
      <c r="B165" s="74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2">
        <f t="shared" si="140"/>
        <v>0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0</v>
      </c>
      <c r="H165" s="67">
        <f t="shared" si="110"/>
        <v>256.66666666666669</v>
      </c>
      <c r="I165" s="7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1.1368683772161603E-13</v>
      </c>
      <c r="O165" s="14">
        <f>N165*VLOOKUP('Données projet'!$B$9,Paramètres!$A$1:$I$89,3,0)*VLOOKUP('Données projet'!$B$9,Paramètres!$A$1:$I$89,5,0)</f>
        <v>1.0818439477588981E-13</v>
      </c>
      <c r="P165" s="14">
        <f t="shared" si="141"/>
        <v>1.6104228458716316E-12</v>
      </c>
      <c r="Q165" s="22">
        <f t="shared" si="162"/>
        <v>2.9932409441277661E-12</v>
      </c>
      <c r="R165" s="60">
        <f t="shared" si="109"/>
        <v>293.33333333333633</v>
      </c>
      <c r="S165" s="60">
        <f ca="1">AVERAGE(OFFSET($R$3,0,0,'Données projet'!$E$9+1,1))-AVERAGE(OFFSET($H$3,0,0,'Données projet'!$E$9+1,1))</f>
        <v>403.49781966317852</v>
      </c>
      <c r="T165" s="60">
        <f t="shared" si="142"/>
        <v>326.06674572505409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0</v>
      </c>
      <c r="AA165" s="23">
        <f>EXP(-LN(2)/25)*AA164+(1-EXP(-LN(2)/25))/(LN(2)/25)*Calculateur!V165*Calculateur!X165*VLOOKUP('Données projet'!$B$9,Paramètres!$A$1:$I$89,3,0)*0.475*44/12</f>
        <v>0</v>
      </c>
      <c r="AB165" s="23">
        <f>EXP(-LN(2)/2)*AB164+(1-EXP(-LN(2)/2))/(LN(2)/2)*V165*Y165*VLOOKUP('Données projet'!$B$9,Paramètres!$A$1:$I$89,3,0)*0.475*44/12</f>
        <v>0</v>
      </c>
      <c r="AC165" s="24">
        <f t="shared" si="163"/>
        <v>0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-1.1368683772161603E-13</v>
      </c>
      <c r="AJ165" s="14">
        <f>AI165*VLOOKUP('Données projet'!$B$10,Paramètres!$A$1:$I$89,3,0)*VLOOKUP('Données projet'!$B$10,Paramètres!$A$1:$I$89,5,0)</f>
        <v>-9.9316821433603781E-14</v>
      </c>
      <c r="AK165" s="14" t="e">
        <f t="shared" si="164"/>
        <v>#NUM!</v>
      </c>
      <c r="AL165" s="22" t="e">
        <f t="shared" si="165"/>
        <v>#NUM!</v>
      </c>
      <c r="AM165" s="60" t="e">
        <f t="shared" si="113"/>
        <v>#NUM!</v>
      </c>
      <c r="AN165" s="60">
        <f ca="1">AVERAGE(OFFSET($AM$3,0,0,'Données projet'!$E$10+1,1))-AVERAGE(OFFSET($H$3,0,0,'Données projet'!$E$10+1,1))</f>
        <v>274.66236526869056</v>
      </c>
      <c r="AO165" s="60">
        <f t="shared" si="144"/>
        <v>256.90876395053073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>
        <f>EXP(-LN(2)/35)*AU164+(1-EXP(-LN(2)/35))/(LN(2)/35)*AQ165*AR165*VLOOKUP('Données projet'!$B$10,Paramètres!$A$1:$I$89,3,0)*0.475*44/12</f>
        <v>0</v>
      </c>
      <c r="AV165" s="23">
        <f>EXP(-LN(2)/25)*AV164+(1-EXP(-LN(2)/25))/(LN(2)/25)*Calculateur!AQ165*Calculateur!AS165*VLOOKUP('Données projet'!$B$10,Paramètres!$A$1:$I$89,3,0)*0.475*44/12</f>
        <v>0</v>
      </c>
      <c r="AW165" s="23">
        <f>EXP(-LN(2)/2)*AW164+(1-EXP(-LN(2)/2))/(LN(2)/2)*AQ165*AT165*VLOOKUP('Données projet'!$B$10,Paramètres!$A$1:$I$89,3,0)*0.475*44/12</f>
        <v>0</v>
      </c>
      <c r="AX165" s="23">
        <f t="shared" si="166"/>
        <v>0</v>
      </c>
      <c r="AY165" s="76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-1.1368683772161603E-13</v>
      </c>
      <c r="BE165" s="14">
        <f>BD165*VLOOKUP('Données projet'!$B$11,Paramètres!$A$1:$I$89,3,0)*VLOOKUP('Données projet'!$B$11,Paramètres!$A$1:$I$89,5,0)</f>
        <v>-1.0286385077051818E-13</v>
      </c>
      <c r="BF165" s="14" t="e">
        <f t="shared" si="167"/>
        <v>#NUM!</v>
      </c>
      <c r="BG165" s="22" t="e">
        <f t="shared" si="168"/>
        <v>#NUM!</v>
      </c>
      <c r="BH165" s="60" t="e">
        <f t="shared" si="116"/>
        <v>#NUM!</v>
      </c>
      <c r="BI165" s="60">
        <f ca="1">AVERAGE(OFFSET($BH$3,0,0,'Données projet'!$E$11+1,1))-AVERAGE(OFFSET($H$3,0,0,'Données projet'!$E$11+1,1))</f>
        <v>529.25712986118265</v>
      </c>
      <c r="BJ165" s="60">
        <f t="shared" si="146"/>
        <v>278.21741231699929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>
        <f>EXP(-LN(2)/35)*BP164+(1-EXP(-LN(2)/35))/(LN(2)/35)*BL165*BM165*VLOOKUP('Données projet'!$B$11,Paramètres!$A$1:$I$89,3,0)*0.475*44/12</f>
        <v>0</v>
      </c>
      <c r="BQ165" s="23">
        <f>EXP(-LN(2)/25)*BQ164+(1-EXP(-LN(2)/25))/(LN(2)/25)*Calculateur!BL165*Calculateur!BN165*VLOOKUP('Données projet'!$B$11,Paramètres!$A$1:$I$89,3,0)*0.475*44/12</f>
        <v>0</v>
      </c>
      <c r="BR165" s="23">
        <f>EXP(-LN(2)/2)*BR164+(1-EXP(-LN(2)/2))/(LN(2)/2)*BL165*BO165*VLOOKUP('Données projet'!$B$11,Paramètres!$A$1:$I$89,3,0)*0.475*44/12</f>
        <v>0</v>
      </c>
      <c r="BS165" s="24">
        <f t="shared" si="169"/>
        <v>0</v>
      </c>
      <c r="BT165" s="77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-1.1368683772161603E-13</v>
      </c>
      <c r="BZ165" s="14">
        <f>BY165*VLOOKUP('Données projet'!$B$12,Paramètres!$A$1:$I$89,3,0)*VLOOKUP('Données projet'!$B$12,Paramètres!$A$1:$I$89,5,0)</f>
        <v>-1.1527845344971866E-13</v>
      </c>
      <c r="CA165" s="14" t="e">
        <f t="shared" si="170"/>
        <v>#NUM!</v>
      </c>
      <c r="CB165" s="22" t="e">
        <f t="shared" si="171"/>
        <v>#NUM!</v>
      </c>
      <c r="CC165" s="60" t="e">
        <f t="shared" si="119"/>
        <v>#NUM!</v>
      </c>
      <c r="CD165" s="60">
        <f ca="1">AVERAGE(OFFSET($CC$3,0,0,'Données projet'!$E$12+1,1))-AVERAGE(OFFSET($H$3,0,0,'Données projet'!$E$12+1,1))</f>
        <v>587.74247372331615</v>
      </c>
      <c r="CE165" s="60">
        <f t="shared" si="148"/>
        <v>306.61893266146666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>
        <f>EXP(-LN(2)/35)*CK164+(1-EXP(-LN(2)/35))/(LN(2)/35)*CG165*CH165*VLOOKUP('Données projet'!$B$12,Paramètres!$A$1:$I$89,3,0)*0.475*44/12</f>
        <v>0</v>
      </c>
      <c r="CL165" s="23">
        <f>EXP(-LN(2)/25)*CL164+(1-EXP(-LN(2)/25))/(LN(2)/25)*Calculateur!CG165*Calculateur!CI165*VLOOKUP('Données projet'!$B$12,Paramètres!$A$1:$I$89,3,0)*0.475*44/12</f>
        <v>0</v>
      </c>
      <c r="CM165" s="23">
        <f>EXP(-LN(2)/2)*CM164+(1-EXP(-LN(2)/2))/(LN(2)/2)*CG165*CJ165*VLOOKUP('Données projet'!$B$12,Paramètres!$A$1:$I$89,3,0)*0.475*44/12</f>
        <v>0</v>
      </c>
      <c r="CN165" s="24">
        <f t="shared" si="172"/>
        <v>0</v>
      </c>
      <c r="CO165" s="77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-1.1368683772161603E-13</v>
      </c>
      <c r="CU165" s="18">
        <f>CT165*VLOOKUP('Données projet'!$B$13,Paramètres!$A$1:$I$89,3,0)*VLOOKUP('Données projet'!$B$13,Paramètres!$A$1:$I$89,5,0)</f>
        <v>-1.223725121235475E-13</v>
      </c>
      <c r="CV165" s="14" t="e">
        <f t="shared" si="173"/>
        <v>#NUM!</v>
      </c>
      <c r="CW165" s="22" t="e">
        <f t="shared" si="174"/>
        <v>#NUM!</v>
      </c>
      <c r="CX165" s="60" t="e">
        <f t="shared" si="122"/>
        <v>#NUM!</v>
      </c>
      <c r="CY165" s="60">
        <f ca="1">AVERAGE(OFFSET($CX$3,0,0,'Données projet'!$E$13+1,1))-AVERAGE(OFFSET($H$3,0,0,'Données projet'!$E$13+1,1))</f>
        <v>621.10465023992288</v>
      </c>
      <c r="CZ165" s="60">
        <f t="shared" si="150"/>
        <v>322.81767004794284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>
        <f>EXP(-LN(2)/35)*DF164+(1-EXP(-LN(2)/35))/(LN(2)/35)*DB165*DC165*VLOOKUP('Données projet'!$B$13,Paramètres!$A$1:$I$89,3,0)*0.475*44/12</f>
        <v>0</v>
      </c>
      <c r="DG165" s="23">
        <f>EXP(-LN(2)/25)*DG164+(1-EXP(-LN(2)/25))/(LN(2)/25)*Calculateur!DB165*Calculateur!DD165*VLOOKUP('Données projet'!$B$13,Paramètres!$A$1:$I$89,3,0)*0.475*44/12</f>
        <v>0</v>
      </c>
      <c r="DH165" s="23">
        <f>EXP(-LN(2)/2)*DH164+(1-EXP(-LN(2)/2))/(LN(2)/2)*DB165*DE165*VLOOKUP('Données projet'!$B$13,Paramètres!$A$1:$I$89,3,0)*0.475*44/12</f>
        <v>0</v>
      </c>
      <c r="DI165" s="24">
        <f t="shared" si="175"/>
        <v>0</v>
      </c>
      <c r="DJ165" s="77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-1.1368683772161603E-13</v>
      </c>
      <c r="DP165" s="18">
        <f>DO165*VLOOKUP('Données projet'!$B$14,Paramètres!$A$1:$I$89,3,0)*VLOOKUP('Données projet'!$B$14,Paramètres!$A$1:$I$89,5,0)</f>
        <v>-1.0995790944434703E-13</v>
      </c>
      <c r="DQ165" s="14" t="e">
        <f t="shared" si="176"/>
        <v>#NUM!</v>
      </c>
      <c r="DR165" s="22" t="e">
        <f t="shared" si="177"/>
        <v>#NUM!</v>
      </c>
      <c r="DS165" s="60" t="e">
        <f t="shared" si="125"/>
        <v>#NUM!</v>
      </c>
      <c r="DT165" s="60">
        <f ca="1">AVERAGE(OFFSET($DS$3,0,0,'Données projet'!$E$14+1,1))-AVERAGE(OFFSET($H$3,0,0,'Données projet'!$E$14+1,1))</f>
        <v>562.69380557620775</v>
      </c>
      <c r="DU165" s="60">
        <f t="shared" si="152"/>
        <v>294.45557293177131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>
        <f>EXP(-LN(2)/35)*EA164+(1-EXP(-LN(2)/35))/(LN(2)/35)*DW165*DX165*VLOOKUP('Données projet'!$B$14,Paramètres!$A$1:$I$89,3,0)*0.475*44/12</f>
        <v>0</v>
      </c>
      <c r="EB165" s="23">
        <f>EXP(-LN(2)/25)*EB164+(1-EXP(-LN(2)/25))/(LN(2)/25)*Calculateur!DW165*Calculateur!DY165*VLOOKUP('Données projet'!$B$14,Paramètres!$A$1:$I$89,3,0)*0.475*44/12</f>
        <v>0</v>
      </c>
      <c r="EC165" s="23">
        <f>EXP(-LN(2)/2)*EC164+(1-EXP(-LN(2)/2))/(LN(2)/2)*DW165*DZ165*VLOOKUP('Données projet'!$B$14,Paramètres!$A$1:$I$89,3,0)*0.475*44/12</f>
        <v>0</v>
      </c>
      <c r="ED165" s="24">
        <f t="shared" si="178"/>
        <v>0</v>
      </c>
      <c r="EE165" s="77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1.1368683772161603E-13</v>
      </c>
      <c r="EK165" s="18">
        <f>EJ165*VLOOKUP('Données projet'!$B$15,Paramètres!$A$1:$I$89,3,0)*VLOOKUP('Données projet'!$B$15,Paramètres!$A$1:$I$89,5,0)</f>
        <v>8.8675733422860506E-14</v>
      </c>
      <c r="EL165" s="14">
        <f t="shared" si="179"/>
        <v>1.3509285393066301E-12</v>
      </c>
      <c r="EM165" s="22">
        <f t="shared" si="180"/>
        <v>2.5073107750038623E-12</v>
      </c>
      <c r="EN165" s="60">
        <f t="shared" si="128"/>
        <v>293.33333333333582</v>
      </c>
      <c r="EO165" s="60">
        <f ca="1">AVERAGE(OFFSET($EN$3,0,0,'Données projet'!$E$15+1,1))-AVERAGE(OFFSET($H$3,0,0,'Données projet'!$E$15+1,1))</f>
        <v>292.57482726862594</v>
      </c>
      <c r="EP165" s="60">
        <f t="shared" si="154"/>
        <v>283.48738729114024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>
        <f>EXP(-LN(2)/35)*EV164+(1-EXP(-LN(2)/35))/(LN(2)/35)*ER165*ES165*VLOOKUP('Données projet'!$B$15,Paramètres!$A$1:$I$89,3,0)*0.475*44/12</f>
        <v>0</v>
      </c>
      <c r="EW165" s="23">
        <f>EXP(-LN(2)/25)*EW164+(1-EXP(-LN(2)/25))/(LN(2)/25)*Calculateur!ER165*Calculateur!ET165*VLOOKUP('Données projet'!$B$15,Paramètres!$A$1:$I$89,3,0)*0.475*44/12</f>
        <v>0</v>
      </c>
      <c r="EX165" s="23">
        <f>EXP(-LN(2)/2)*EX164+(1-EXP(-LN(2)/2))/(LN(2)/2)*ER165*EU165*VLOOKUP('Données projet'!$B$15,Paramètres!$A$1:$I$89,3,0)*0.475*44/12</f>
        <v>0</v>
      </c>
      <c r="EY165" s="24">
        <f t="shared" si="181"/>
        <v>0</v>
      </c>
      <c r="EZ165" s="77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0" t="e">
        <f t="shared" si="131"/>
        <v>#N/A</v>
      </c>
      <c r="FJ165" s="60" t="e">
        <f ca="1">AVERAGE(OFFSET($FI$3,0,0,'Données projet'!$E$16+1,1))-AVERAGE(OFFSET($H$3,0,0,'Données projet'!$E$16+1,1))</f>
        <v>#N/A</v>
      </c>
      <c r="FK165" s="60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77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0" t="e">
        <f t="shared" si="134"/>
        <v>#N/A</v>
      </c>
      <c r="GE165" s="60" t="e">
        <f ca="1">AVERAGE(OFFSET($GD$3,0,0,'Données projet'!$E$17+1,1))-AVERAGE(OFFSET($H$3,0,0,'Données projet'!$E$17+1,1))</f>
        <v>#N/A</v>
      </c>
      <c r="GF165" s="60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77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0" t="e">
        <f t="shared" si="137"/>
        <v>#N/A</v>
      </c>
      <c r="GZ165" s="60" t="e">
        <f ca="1">AVERAGE(OFFSET($GY$3,0,0,'Données projet'!$E$18+1,1))-AVERAGE(OFFSET($H$3,0,0,'Données projet'!$E$18+1,1))</f>
        <v>#N/A</v>
      </c>
      <c r="HA165" s="60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25">
      <c r="A166" s="11">
        <f t="shared" si="161"/>
        <v>163</v>
      </c>
      <c r="B166" s="74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2">
        <f t="shared" si="140"/>
        <v>0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0</v>
      </c>
      <c r="H166" s="67">
        <f t="shared" si="110"/>
        <v>256.66666666666669</v>
      </c>
      <c r="I166" s="7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1.1368683772161603E-13</v>
      </c>
      <c r="O166" s="14">
        <f>N166*VLOOKUP('Données projet'!$B$9,Paramètres!$A$1:$I$89,3,0)*VLOOKUP('Données projet'!$B$9,Paramètres!$A$1:$I$89,5,0)</f>
        <v>1.0818439477588981E-13</v>
      </c>
      <c r="P166" s="14">
        <f t="shared" si="141"/>
        <v>1.6104228458716316E-12</v>
      </c>
      <c r="Q166" s="22">
        <f t="shared" si="162"/>
        <v>2.9932409441277661E-12</v>
      </c>
      <c r="R166" s="60">
        <f t="shared" si="109"/>
        <v>293.33333333333633</v>
      </c>
      <c r="S166" s="60">
        <f ca="1">AVERAGE(OFFSET($R$3,0,0,'Données projet'!$E$9+1,1))-AVERAGE(OFFSET($H$3,0,0,'Données projet'!$E$9+1,1))</f>
        <v>403.49781966317852</v>
      </c>
      <c r="T166" s="60">
        <f t="shared" si="142"/>
        <v>326.06674572505409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0</v>
      </c>
      <c r="AA166" s="23">
        <f>EXP(-LN(2)/25)*AA165+(1-EXP(-LN(2)/25))/(LN(2)/25)*Calculateur!V166*Calculateur!X166*VLOOKUP('Données projet'!$B$9,Paramètres!$A$1:$I$89,3,0)*0.475*44/12</f>
        <v>0</v>
      </c>
      <c r="AB166" s="23">
        <f>EXP(-LN(2)/2)*AB165+(1-EXP(-LN(2)/2))/(LN(2)/2)*V166*Y166*VLOOKUP('Données projet'!$B$9,Paramètres!$A$1:$I$89,3,0)*0.475*44/12</f>
        <v>0</v>
      </c>
      <c r="AC166" s="24">
        <f t="shared" si="163"/>
        <v>0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-1.1368683772161603E-13</v>
      </c>
      <c r="AJ166" s="14">
        <f>AI166*VLOOKUP('Données projet'!$B$10,Paramètres!$A$1:$I$89,3,0)*VLOOKUP('Données projet'!$B$10,Paramètres!$A$1:$I$89,5,0)</f>
        <v>-9.9316821433603781E-14</v>
      </c>
      <c r="AK166" s="14" t="e">
        <f t="shared" si="164"/>
        <v>#NUM!</v>
      </c>
      <c r="AL166" s="22" t="e">
        <f t="shared" si="165"/>
        <v>#NUM!</v>
      </c>
      <c r="AM166" s="60" t="e">
        <f t="shared" si="113"/>
        <v>#NUM!</v>
      </c>
      <c r="AN166" s="60">
        <f ca="1">AVERAGE(OFFSET($AM$3,0,0,'Données projet'!$E$10+1,1))-AVERAGE(OFFSET($H$3,0,0,'Données projet'!$E$10+1,1))</f>
        <v>274.66236526869056</v>
      </c>
      <c r="AO166" s="60">
        <f t="shared" si="144"/>
        <v>256.90876395053073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>
        <f>EXP(-LN(2)/35)*AU165+(1-EXP(-LN(2)/35))/(LN(2)/35)*AQ166*AR166*VLOOKUP('Données projet'!$B$10,Paramètres!$A$1:$I$89,3,0)*0.475*44/12</f>
        <v>0</v>
      </c>
      <c r="AV166" s="23">
        <f>EXP(-LN(2)/25)*AV165+(1-EXP(-LN(2)/25))/(LN(2)/25)*Calculateur!AQ166*Calculateur!AS166*VLOOKUP('Données projet'!$B$10,Paramètres!$A$1:$I$89,3,0)*0.475*44/12</f>
        <v>0</v>
      </c>
      <c r="AW166" s="23">
        <f>EXP(-LN(2)/2)*AW165+(1-EXP(-LN(2)/2))/(LN(2)/2)*AQ166*AT166*VLOOKUP('Données projet'!$B$10,Paramètres!$A$1:$I$89,3,0)*0.475*44/12</f>
        <v>0</v>
      </c>
      <c r="AX166" s="23">
        <f t="shared" si="166"/>
        <v>0</v>
      </c>
      <c r="AY166" s="76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-1.1368683772161603E-13</v>
      </c>
      <c r="BE166" s="14">
        <f>BD166*VLOOKUP('Données projet'!$B$11,Paramètres!$A$1:$I$89,3,0)*VLOOKUP('Données projet'!$B$11,Paramètres!$A$1:$I$89,5,0)</f>
        <v>-1.0286385077051818E-13</v>
      </c>
      <c r="BF166" s="14" t="e">
        <f t="shared" si="167"/>
        <v>#NUM!</v>
      </c>
      <c r="BG166" s="22" t="e">
        <f t="shared" si="168"/>
        <v>#NUM!</v>
      </c>
      <c r="BH166" s="60" t="e">
        <f t="shared" si="116"/>
        <v>#NUM!</v>
      </c>
      <c r="BI166" s="60">
        <f ca="1">AVERAGE(OFFSET($BH$3,0,0,'Données projet'!$E$11+1,1))-AVERAGE(OFFSET($H$3,0,0,'Données projet'!$E$11+1,1))</f>
        <v>529.25712986118265</v>
      </c>
      <c r="BJ166" s="60">
        <f t="shared" si="146"/>
        <v>278.21741231699929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>
        <f>EXP(-LN(2)/35)*BP165+(1-EXP(-LN(2)/35))/(LN(2)/35)*BL166*BM166*VLOOKUP('Données projet'!$B$11,Paramètres!$A$1:$I$89,3,0)*0.475*44/12</f>
        <v>0</v>
      </c>
      <c r="BQ166" s="23">
        <f>EXP(-LN(2)/25)*BQ165+(1-EXP(-LN(2)/25))/(LN(2)/25)*Calculateur!BL166*Calculateur!BN166*VLOOKUP('Données projet'!$B$11,Paramètres!$A$1:$I$89,3,0)*0.475*44/12</f>
        <v>0</v>
      </c>
      <c r="BR166" s="23">
        <f>EXP(-LN(2)/2)*BR165+(1-EXP(-LN(2)/2))/(LN(2)/2)*BL166*BO166*VLOOKUP('Données projet'!$B$11,Paramètres!$A$1:$I$89,3,0)*0.475*44/12</f>
        <v>0</v>
      </c>
      <c r="BS166" s="24">
        <f t="shared" si="169"/>
        <v>0</v>
      </c>
      <c r="BT166" s="77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-1.1368683772161603E-13</v>
      </c>
      <c r="BZ166" s="14">
        <f>BY166*VLOOKUP('Données projet'!$B$12,Paramètres!$A$1:$I$89,3,0)*VLOOKUP('Données projet'!$B$12,Paramètres!$A$1:$I$89,5,0)</f>
        <v>-1.1527845344971866E-13</v>
      </c>
      <c r="CA166" s="14" t="e">
        <f t="shared" si="170"/>
        <v>#NUM!</v>
      </c>
      <c r="CB166" s="22" t="e">
        <f t="shared" si="171"/>
        <v>#NUM!</v>
      </c>
      <c r="CC166" s="60" t="e">
        <f t="shared" si="119"/>
        <v>#NUM!</v>
      </c>
      <c r="CD166" s="60">
        <f ca="1">AVERAGE(OFFSET($CC$3,0,0,'Données projet'!$E$12+1,1))-AVERAGE(OFFSET($H$3,0,0,'Données projet'!$E$12+1,1))</f>
        <v>587.74247372331615</v>
      </c>
      <c r="CE166" s="60">
        <f t="shared" si="148"/>
        <v>306.61893266146666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>
        <f>EXP(-LN(2)/35)*CK165+(1-EXP(-LN(2)/35))/(LN(2)/35)*CG166*CH166*VLOOKUP('Données projet'!$B$12,Paramètres!$A$1:$I$89,3,0)*0.475*44/12</f>
        <v>0</v>
      </c>
      <c r="CL166" s="23">
        <f>EXP(-LN(2)/25)*CL165+(1-EXP(-LN(2)/25))/(LN(2)/25)*Calculateur!CG166*Calculateur!CI166*VLOOKUP('Données projet'!$B$12,Paramètres!$A$1:$I$89,3,0)*0.475*44/12</f>
        <v>0</v>
      </c>
      <c r="CM166" s="23">
        <f>EXP(-LN(2)/2)*CM165+(1-EXP(-LN(2)/2))/(LN(2)/2)*CG166*CJ166*VLOOKUP('Données projet'!$B$12,Paramètres!$A$1:$I$89,3,0)*0.475*44/12</f>
        <v>0</v>
      </c>
      <c r="CN166" s="24">
        <f t="shared" si="172"/>
        <v>0</v>
      </c>
      <c r="CO166" s="77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-1.1368683772161603E-13</v>
      </c>
      <c r="CU166" s="18">
        <f>CT166*VLOOKUP('Données projet'!$B$13,Paramètres!$A$1:$I$89,3,0)*VLOOKUP('Données projet'!$B$13,Paramètres!$A$1:$I$89,5,0)</f>
        <v>-1.223725121235475E-13</v>
      </c>
      <c r="CV166" s="14" t="e">
        <f t="shared" si="173"/>
        <v>#NUM!</v>
      </c>
      <c r="CW166" s="22" t="e">
        <f t="shared" si="174"/>
        <v>#NUM!</v>
      </c>
      <c r="CX166" s="60" t="e">
        <f t="shared" si="122"/>
        <v>#NUM!</v>
      </c>
      <c r="CY166" s="60">
        <f ca="1">AVERAGE(OFFSET($CX$3,0,0,'Données projet'!$E$13+1,1))-AVERAGE(OFFSET($H$3,0,0,'Données projet'!$E$13+1,1))</f>
        <v>621.10465023992288</v>
      </c>
      <c r="CZ166" s="60">
        <f t="shared" si="150"/>
        <v>322.81767004794284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>
        <f>EXP(-LN(2)/35)*DF165+(1-EXP(-LN(2)/35))/(LN(2)/35)*DB166*DC166*VLOOKUP('Données projet'!$B$13,Paramètres!$A$1:$I$89,3,0)*0.475*44/12</f>
        <v>0</v>
      </c>
      <c r="DG166" s="23">
        <f>EXP(-LN(2)/25)*DG165+(1-EXP(-LN(2)/25))/(LN(2)/25)*Calculateur!DB166*Calculateur!DD166*VLOOKUP('Données projet'!$B$13,Paramètres!$A$1:$I$89,3,0)*0.475*44/12</f>
        <v>0</v>
      </c>
      <c r="DH166" s="23">
        <f>EXP(-LN(2)/2)*DH165+(1-EXP(-LN(2)/2))/(LN(2)/2)*DB166*DE166*VLOOKUP('Données projet'!$B$13,Paramètres!$A$1:$I$89,3,0)*0.475*44/12</f>
        <v>0</v>
      </c>
      <c r="DI166" s="24">
        <f t="shared" si="175"/>
        <v>0</v>
      </c>
      <c r="DJ166" s="77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-1.1368683772161603E-13</v>
      </c>
      <c r="DP166" s="18">
        <f>DO166*VLOOKUP('Données projet'!$B$14,Paramètres!$A$1:$I$89,3,0)*VLOOKUP('Données projet'!$B$14,Paramètres!$A$1:$I$89,5,0)</f>
        <v>-1.0995790944434703E-13</v>
      </c>
      <c r="DQ166" s="14" t="e">
        <f t="shared" si="176"/>
        <v>#NUM!</v>
      </c>
      <c r="DR166" s="22" t="e">
        <f t="shared" si="177"/>
        <v>#NUM!</v>
      </c>
      <c r="DS166" s="60" t="e">
        <f t="shared" si="125"/>
        <v>#NUM!</v>
      </c>
      <c r="DT166" s="60">
        <f ca="1">AVERAGE(OFFSET($DS$3,0,0,'Données projet'!$E$14+1,1))-AVERAGE(OFFSET($H$3,0,0,'Données projet'!$E$14+1,1))</f>
        <v>562.69380557620775</v>
      </c>
      <c r="DU166" s="60">
        <f t="shared" si="152"/>
        <v>294.45557293177131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>
        <f>EXP(-LN(2)/35)*EA165+(1-EXP(-LN(2)/35))/(LN(2)/35)*DW166*DX166*VLOOKUP('Données projet'!$B$14,Paramètres!$A$1:$I$89,3,0)*0.475*44/12</f>
        <v>0</v>
      </c>
      <c r="EB166" s="23">
        <f>EXP(-LN(2)/25)*EB165+(1-EXP(-LN(2)/25))/(LN(2)/25)*Calculateur!DW166*Calculateur!DY166*VLOOKUP('Données projet'!$B$14,Paramètres!$A$1:$I$89,3,0)*0.475*44/12</f>
        <v>0</v>
      </c>
      <c r="EC166" s="23">
        <f>EXP(-LN(2)/2)*EC165+(1-EXP(-LN(2)/2))/(LN(2)/2)*DW166*DZ166*VLOOKUP('Données projet'!$B$14,Paramètres!$A$1:$I$89,3,0)*0.475*44/12</f>
        <v>0</v>
      </c>
      <c r="ED166" s="24">
        <f t="shared" si="178"/>
        <v>0</v>
      </c>
      <c r="EE166" s="77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1.1368683772161603E-13</v>
      </c>
      <c r="EK166" s="18">
        <f>EJ166*VLOOKUP('Données projet'!$B$15,Paramètres!$A$1:$I$89,3,0)*VLOOKUP('Données projet'!$B$15,Paramètres!$A$1:$I$89,5,0)</f>
        <v>8.8675733422860506E-14</v>
      </c>
      <c r="EL166" s="14">
        <f t="shared" si="179"/>
        <v>1.3509285393066301E-12</v>
      </c>
      <c r="EM166" s="22">
        <f t="shared" si="180"/>
        <v>2.5073107750038623E-12</v>
      </c>
      <c r="EN166" s="60">
        <f t="shared" si="128"/>
        <v>293.33333333333582</v>
      </c>
      <c r="EO166" s="60">
        <f ca="1">AVERAGE(OFFSET($EN$3,0,0,'Données projet'!$E$15+1,1))-AVERAGE(OFFSET($H$3,0,0,'Données projet'!$E$15+1,1))</f>
        <v>292.57482726862594</v>
      </c>
      <c r="EP166" s="60">
        <f t="shared" si="154"/>
        <v>283.48738729114024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>
        <f>EXP(-LN(2)/35)*EV165+(1-EXP(-LN(2)/35))/(LN(2)/35)*ER166*ES166*VLOOKUP('Données projet'!$B$15,Paramètres!$A$1:$I$89,3,0)*0.475*44/12</f>
        <v>0</v>
      </c>
      <c r="EW166" s="23">
        <f>EXP(-LN(2)/25)*EW165+(1-EXP(-LN(2)/25))/(LN(2)/25)*Calculateur!ER166*Calculateur!ET166*VLOOKUP('Données projet'!$B$15,Paramètres!$A$1:$I$89,3,0)*0.475*44/12</f>
        <v>0</v>
      </c>
      <c r="EX166" s="23">
        <f>EXP(-LN(2)/2)*EX165+(1-EXP(-LN(2)/2))/(LN(2)/2)*ER166*EU166*VLOOKUP('Données projet'!$B$15,Paramètres!$A$1:$I$89,3,0)*0.475*44/12</f>
        <v>0</v>
      </c>
      <c r="EY166" s="24">
        <f t="shared" si="181"/>
        <v>0</v>
      </c>
      <c r="EZ166" s="77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0" t="e">
        <f t="shared" si="131"/>
        <v>#N/A</v>
      </c>
      <c r="FJ166" s="60" t="e">
        <f ca="1">AVERAGE(OFFSET($FI$3,0,0,'Données projet'!$E$16+1,1))-AVERAGE(OFFSET($H$3,0,0,'Données projet'!$E$16+1,1))</f>
        <v>#N/A</v>
      </c>
      <c r="FK166" s="60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77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0" t="e">
        <f t="shared" si="134"/>
        <v>#N/A</v>
      </c>
      <c r="GE166" s="60" t="e">
        <f ca="1">AVERAGE(OFFSET($GD$3,0,0,'Données projet'!$E$17+1,1))-AVERAGE(OFFSET($H$3,0,0,'Données projet'!$E$17+1,1))</f>
        <v>#N/A</v>
      </c>
      <c r="GF166" s="60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77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0" t="e">
        <f t="shared" si="137"/>
        <v>#N/A</v>
      </c>
      <c r="GZ166" s="60" t="e">
        <f ca="1">AVERAGE(OFFSET($GY$3,0,0,'Données projet'!$E$18+1,1))-AVERAGE(OFFSET($H$3,0,0,'Données projet'!$E$18+1,1))</f>
        <v>#N/A</v>
      </c>
      <c r="HA166" s="60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25">
      <c r="A167" s="11">
        <f t="shared" si="161"/>
        <v>164</v>
      </c>
      <c r="B167" s="74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2">
        <f t="shared" si="140"/>
        <v>0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0</v>
      </c>
      <c r="H167" s="67">
        <f t="shared" si="110"/>
        <v>256.66666666666669</v>
      </c>
      <c r="I167" s="7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1.1368683772161603E-13</v>
      </c>
      <c r="O167" s="14">
        <f>N167*VLOOKUP('Données projet'!$B$9,Paramètres!$A$1:$I$89,3,0)*VLOOKUP('Données projet'!$B$9,Paramètres!$A$1:$I$89,5,0)</f>
        <v>1.0818439477588981E-13</v>
      </c>
      <c r="P167" s="14">
        <f t="shared" si="141"/>
        <v>1.6104228458716316E-12</v>
      </c>
      <c r="Q167" s="22">
        <f t="shared" si="162"/>
        <v>2.9932409441277661E-12</v>
      </c>
      <c r="R167" s="60">
        <f t="shared" si="109"/>
        <v>293.33333333333633</v>
      </c>
      <c r="S167" s="60">
        <f ca="1">AVERAGE(OFFSET($R$3,0,0,'Données projet'!$E$9+1,1))-AVERAGE(OFFSET($H$3,0,0,'Données projet'!$E$9+1,1))</f>
        <v>403.49781966317852</v>
      </c>
      <c r="T167" s="60">
        <f t="shared" si="142"/>
        <v>326.06674572505409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0</v>
      </c>
      <c r="AA167" s="23">
        <f>EXP(-LN(2)/25)*AA166+(1-EXP(-LN(2)/25))/(LN(2)/25)*Calculateur!V167*Calculateur!X167*VLOOKUP('Données projet'!$B$9,Paramètres!$A$1:$I$89,3,0)*0.475*44/12</f>
        <v>0</v>
      </c>
      <c r="AB167" s="23">
        <f>EXP(-LN(2)/2)*AB166+(1-EXP(-LN(2)/2))/(LN(2)/2)*V167*Y167*VLOOKUP('Données projet'!$B$9,Paramètres!$A$1:$I$89,3,0)*0.475*44/12</f>
        <v>0</v>
      </c>
      <c r="AC167" s="24">
        <f t="shared" si="163"/>
        <v>0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-1.1368683772161603E-13</v>
      </c>
      <c r="AJ167" s="14">
        <f>AI167*VLOOKUP('Données projet'!$B$10,Paramètres!$A$1:$I$89,3,0)*VLOOKUP('Données projet'!$B$10,Paramètres!$A$1:$I$89,5,0)</f>
        <v>-9.9316821433603781E-14</v>
      </c>
      <c r="AK167" s="14" t="e">
        <f t="shared" si="164"/>
        <v>#NUM!</v>
      </c>
      <c r="AL167" s="22" t="e">
        <f t="shared" si="165"/>
        <v>#NUM!</v>
      </c>
      <c r="AM167" s="60" t="e">
        <f t="shared" si="113"/>
        <v>#NUM!</v>
      </c>
      <c r="AN167" s="60">
        <f ca="1">AVERAGE(OFFSET($AM$3,0,0,'Données projet'!$E$10+1,1))-AVERAGE(OFFSET($H$3,0,0,'Données projet'!$E$10+1,1))</f>
        <v>274.66236526869056</v>
      </c>
      <c r="AO167" s="60">
        <f t="shared" si="144"/>
        <v>256.90876395053073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>
        <f>EXP(-LN(2)/35)*AU166+(1-EXP(-LN(2)/35))/(LN(2)/35)*AQ167*AR167*VLOOKUP('Données projet'!$B$10,Paramètres!$A$1:$I$89,3,0)*0.475*44/12</f>
        <v>0</v>
      </c>
      <c r="AV167" s="23">
        <f>EXP(-LN(2)/25)*AV166+(1-EXP(-LN(2)/25))/(LN(2)/25)*Calculateur!AQ167*Calculateur!AS167*VLOOKUP('Données projet'!$B$10,Paramètres!$A$1:$I$89,3,0)*0.475*44/12</f>
        <v>0</v>
      </c>
      <c r="AW167" s="23">
        <f>EXP(-LN(2)/2)*AW166+(1-EXP(-LN(2)/2))/(LN(2)/2)*AQ167*AT167*VLOOKUP('Données projet'!$B$10,Paramètres!$A$1:$I$89,3,0)*0.475*44/12</f>
        <v>0</v>
      </c>
      <c r="AX167" s="23">
        <f t="shared" si="166"/>
        <v>0</v>
      </c>
      <c r="AY167" s="76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-1.1368683772161603E-13</v>
      </c>
      <c r="BE167" s="14">
        <f>BD167*VLOOKUP('Données projet'!$B$11,Paramètres!$A$1:$I$89,3,0)*VLOOKUP('Données projet'!$B$11,Paramètres!$A$1:$I$89,5,0)</f>
        <v>-1.0286385077051818E-13</v>
      </c>
      <c r="BF167" s="14" t="e">
        <f t="shared" si="167"/>
        <v>#NUM!</v>
      </c>
      <c r="BG167" s="22" t="e">
        <f t="shared" si="168"/>
        <v>#NUM!</v>
      </c>
      <c r="BH167" s="60" t="e">
        <f t="shared" si="116"/>
        <v>#NUM!</v>
      </c>
      <c r="BI167" s="60">
        <f ca="1">AVERAGE(OFFSET($BH$3,0,0,'Données projet'!$E$11+1,1))-AVERAGE(OFFSET($H$3,0,0,'Données projet'!$E$11+1,1))</f>
        <v>529.25712986118265</v>
      </c>
      <c r="BJ167" s="60">
        <f t="shared" si="146"/>
        <v>278.21741231699929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>
        <f>EXP(-LN(2)/35)*BP166+(1-EXP(-LN(2)/35))/(LN(2)/35)*BL167*BM167*VLOOKUP('Données projet'!$B$11,Paramètres!$A$1:$I$89,3,0)*0.475*44/12</f>
        <v>0</v>
      </c>
      <c r="BQ167" s="23">
        <f>EXP(-LN(2)/25)*BQ166+(1-EXP(-LN(2)/25))/(LN(2)/25)*Calculateur!BL167*Calculateur!BN167*VLOOKUP('Données projet'!$B$11,Paramètres!$A$1:$I$89,3,0)*0.475*44/12</f>
        <v>0</v>
      </c>
      <c r="BR167" s="23">
        <f>EXP(-LN(2)/2)*BR166+(1-EXP(-LN(2)/2))/(LN(2)/2)*BL167*BO167*VLOOKUP('Données projet'!$B$11,Paramètres!$A$1:$I$89,3,0)*0.475*44/12</f>
        <v>0</v>
      </c>
      <c r="BS167" s="24">
        <f t="shared" si="169"/>
        <v>0</v>
      </c>
      <c r="BT167" s="77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-1.1368683772161603E-13</v>
      </c>
      <c r="BZ167" s="14">
        <f>BY167*VLOOKUP('Données projet'!$B$12,Paramètres!$A$1:$I$89,3,0)*VLOOKUP('Données projet'!$B$12,Paramètres!$A$1:$I$89,5,0)</f>
        <v>-1.1527845344971866E-13</v>
      </c>
      <c r="CA167" s="14" t="e">
        <f t="shared" si="170"/>
        <v>#NUM!</v>
      </c>
      <c r="CB167" s="22" t="e">
        <f t="shared" si="171"/>
        <v>#NUM!</v>
      </c>
      <c r="CC167" s="60" t="e">
        <f t="shared" si="119"/>
        <v>#NUM!</v>
      </c>
      <c r="CD167" s="60">
        <f ca="1">AVERAGE(OFFSET($CC$3,0,0,'Données projet'!$E$12+1,1))-AVERAGE(OFFSET($H$3,0,0,'Données projet'!$E$12+1,1))</f>
        <v>587.74247372331615</v>
      </c>
      <c r="CE167" s="60">
        <f t="shared" si="148"/>
        <v>306.61893266146666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>
        <f>EXP(-LN(2)/35)*CK166+(1-EXP(-LN(2)/35))/(LN(2)/35)*CG167*CH167*VLOOKUP('Données projet'!$B$12,Paramètres!$A$1:$I$89,3,0)*0.475*44/12</f>
        <v>0</v>
      </c>
      <c r="CL167" s="23">
        <f>EXP(-LN(2)/25)*CL166+(1-EXP(-LN(2)/25))/(LN(2)/25)*Calculateur!CG167*Calculateur!CI167*VLOOKUP('Données projet'!$B$12,Paramètres!$A$1:$I$89,3,0)*0.475*44/12</f>
        <v>0</v>
      </c>
      <c r="CM167" s="23">
        <f>EXP(-LN(2)/2)*CM166+(1-EXP(-LN(2)/2))/(LN(2)/2)*CG167*CJ167*VLOOKUP('Données projet'!$B$12,Paramètres!$A$1:$I$89,3,0)*0.475*44/12</f>
        <v>0</v>
      </c>
      <c r="CN167" s="24">
        <f t="shared" si="172"/>
        <v>0</v>
      </c>
      <c r="CO167" s="77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-1.1368683772161603E-13</v>
      </c>
      <c r="CU167" s="18">
        <f>CT167*VLOOKUP('Données projet'!$B$13,Paramètres!$A$1:$I$89,3,0)*VLOOKUP('Données projet'!$B$13,Paramètres!$A$1:$I$89,5,0)</f>
        <v>-1.223725121235475E-13</v>
      </c>
      <c r="CV167" s="14" t="e">
        <f t="shared" si="173"/>
        <v>#NUM!</v>
      </c>
      <c r="CW167" s="22" t="e">
        <f t="shared" si="174"/>
        <v>#NUM!</v>
      </c>
      <c r="CX167" s="60" t="e">
        <f t="shared" si="122"/>
        <v>#NUM!</v>
      </c>
      <c r="CY167" s="60">
        <f ca="1">AVERAGE(OFFSET($CX$3,0,0,'Données projet'!$E$13+1,1))-AVERAGE(OFFSET($H$3,0,0,'Données projet'!$E$13+1,1))</f>
        <v>621.10465023992288</v>
      </c>
      <c r="CZ167" s="60">
        <f t="shared" si="150"/>
        <v>322.81767004794284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>
        <f>EXP(-LN(2)/35)*DF166+(1-EXP(-LN(2)/35))/(LN(2)/35)*DB167*DC167*VLOOKUP('Données projet'!$B$13,Paramètres!$A$1:$I$89,3,0)*0.475*44/12</f>
        <v>0</v>
      </c>
      <c r="DG167" s="23">
        <f>EXP(-LN(2)/25)*DG166+(1-EXP(-LN(2)/25))/(LN(2)/25)*Calculateur!DB167*Calculateur!DD167*VLOOKUP('Données projet'!$B$13,Paramètres!$A$1:$I$89,3,0)*0.475*44/12</f>
        <v>0</v>
      </c>
      <c r="DH167" s="23">
        <f>EXP(-LN(2)/2)*DH166+(1-EXP(-LN(2)/2))/(LN(2)/2)*DB167*DE167*VLOOKUP('Données projet'!$B$13,Paramètres!$A$1:$I$89,3,0)*0.475*44/12</f>
        <v>0</v>
      </c>
      <c r="DI167" s="24">
        <f t="shared" si="175"/>
        <v>0</v>
      </c>
      <c r="DJ167" s="77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-1.1368683772161603E-13</v>
      </c>
      <c r="DP167" s="18">
        <f>DO167*VLOOKUP('Données projet'!$B$14,Paramètres!$A$1:$I$89,3,0)*VLOOKUP('Données projet'!$B$14,Paramètres!$A$1:$I$89,5,0)</f>
        <v>-1.0995790944434703E-13</v>
      </c>
      <c r="DQ167" s="14" t="e">
        <f t="shared" si="176"/>
        <v>#NUM!</v>
      </c>
      <c r="DR167" s="22" t="e">
        <f t="shared" si="177"/>
        <v>#NUM!</v>
      </c>
      <c r="DS167" s="60" t="e">
        <f t="shared" si="125"/>
        <v>#NUM!</v>
      </c>
      <c r="DT167" s="60">
        <f ca="1">AVERAGE(OFFSET($DS$3,0,0,'Données projet'!$E$14+1,1))-AVERAGE(OFFSET($H$3,0,0,'Données projet'!$E$14+1,1))</f>
        <v>562.69380557620775</v>
      </c>
      <c r="DU167" s="60">
        <f t="shared" si="152"/>
        <v>294.45557293177131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>
        <f>EXP(-LN(2)/35)*EA166+(1-EXP(-LN(2)/35))/(LN(2)/35)*DW167*DX167*VLOOKUP('Données projet'!$B$14,Paramètres!$A$1:$I$89,3,0)*0.475*44/12</f>
        <v>0</v>
      </c>
      <c r="EB167" s="23">
        <f>EXP(-LN(2)/25)*EB166+(1-EXP(-LN(2)/25))/(LN(2)/25)*Calculateur!DW167*Calculateur!DY167*VLOOKUP('Données projet'!$B$14,Paramètres!$A$1:$I$89,3,0)*0.475*44/12</f>
        <v>0</v>
      </c>
      <c r="EC167" s="23">
        <f>EXP(-LN(2)/2)*EC166+(1-EXP(-LN(2)/2))/(LN(2)/2)*DW167*DZ167*VLOOKUP('Données projet'!$B$14,Paramètres!$A$1:$I$89,3,0)*0.475*44/12</f>
        <v>0</v>
      </c>
      <c r="ED167" s="24">
        <f t="shared" si="178"/>
        <v>0</v>
      </c>
      <c r="EE167" s="77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1.1368683772161603E-13</v>
      </c>
      <c r="EK167" s="18">
        <f>EJ167*VLOOKUP('Données projet'!$B$15,Paramètres!$A$1:$I$89,3,0)*VLOOKUP('Données projet'!$B$15,Paramètres!$A$1:$I$89,5,0)</f>
        <v>8.8675733422860506E-14</v>
      </c>
      <c r="EL167" s="14">
        <f t="shared" si="179"/>
        <v>1.3509285393066301E-12</v>
      </c>
      <c r="EM167" s="22">
        <f t="shared" si="180"/>
        <v>2.5073107750038623E-12</v>
      </c>
      <c r="EN167" s="60">
        <f t="shared" si="128"/>
        <v>293.33333333333582</v>
      </c>
      <c r="EO167" s="60">
        <f ca="1">AVERAGE(OFFSET($EN$3,0,0,'Données projet'!$E$15+1,1))-AVERAGE(OFFSET($H$3,0,0,'Données projet'!$E$15+1,1))</f>
        <v>292.57482726862594</v>
      </c>
      <c r="EP167" s="60">
        <f t="shared" si="154"/>
        <v>283.48738729114024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>
        <f>EXP(-LN(2)/35)*EV166+(1-EXP(-LN(2)/35))/(LN(2)/35)*ER167*ES167*VLOOKUP('Données projet'!$B$15,Paramètres!$A$1:$I$89,3,0)*0.475*44/12</f>
        <v>0</v>
      </c>
      <c r="EW167" s="23">
        <f>EXP(-LN(2)/25)*EW166+(1-EXP(-LN(2)/25))/(LN(2)/25)*Calculateur!ER167*Calculateur!ET167*VLOOKUP('Données projet'!$B$15,Paramètres!$A$1:$I$89,3,0)*0.475*44/12</f>
        <v>0</v>
      </c>
      <c r="EX167" s="23">
        <f>EXP(-LN(2)/2)*EX166+(1-EXP(-LN(2)/2))/(LN(2)/2)*ER167*EU167*VLOOKUP('Données projet'!$B$15,Paramètres!$A$1:$I$89,3,0)*0.475*44/12</f>
        <v>0</v>
      </c>
      <c r="EY167" s="24">
        <f t="shared" si="181"/>
        <v>0</v>
      </c>
      <c r="EZ167" s="77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0" t="e">
        <f t="shared" si="131"/>
        <v>#N/A</v>
      </c>
      <c r="FJ167" s="60" t="e">
        <f ca="1">AVERAGE(OFFSET($FI$3,0,0,'Données projet'!$E$16+1,1))-AVERAGE(OFFSET($H$3,0,0,'Données projet'!$E$16+1,1))</f>
        <v>#N/A</v>
      </c>
      <c r="FK167" s="60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77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0" t="e">
        <f t="shared" si="134"/>
        <v>#N/A</v>
      </c>
      <c r="GE167" s="60" t="e">
        <f ca="1">AVERAGE(OFFSET($GD$3,0,0,'Données projet'!$E$17+1,1))-AVERAGE(OFFSET($H$3,0,0,'Données projet'!$E$17+1,1))</f>
        <v>#N/A</v>
      </c>
      <c r="GF167" s="60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77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0" t="e">
        <f t="shared" si="137"/>
        <v>#N/A</v>
      </c>
      <c r="GZ167" s="60" t="e">
        <f ca="1">AVERAGE(OFFSET($GY$3,0,0,'Données projet'!$E$18+1,1))-AVERAGE(OFFSET($H$3,0,0,'Données projet'!$E$18+1,1))</f>
        <v>#N/A</v>
      </c>
      <c r="HA167" s="60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25">
      <c r="A168" s="11">
        <f t="shared" si="161"/>
        <v>165</v>
      </c>
      <c r="B168" s="74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2">
        <f t="shared" si="140"/>
        <v>0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0</v>
      </c>
      <c r="H168" s="67">
        <f t="shared" si="110"/>
        <v>256.66666666666669</v>
      </c>
      <c r="I168" s="7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1.1368683772161603E-13</v>
      </c>
      <c r="O168" s="14">
        <f>N168*VLOOKUP('Données projet'!$B$9,Paramètres!$A$1:$I$89,3,0)*VLOOKUP('Données projet'!$B$9,Paramètres!$A$1:$I$89,5,0)</f>
        <v>1.0818439477588981E-13</v>
      </c>
      <c r="P168" s="14">
        <f t="shared" si="141"/>
        <v>1.6104228458716316E-12</v>
      </c>
      <c r="Q168" s="22">
        <f t="shared" si="162"/>
        <v>2.9932409441277661E-12</v>
      </c>
      <c r="R168" s="60">
        <f t="shared" si="109"/>
        <v>293.33333333333633</v>
      </c>
      <c r="S168" s="60">
        <f ca="1">AVERAGE(OFFSET($R$3,0,0,'Données projet'!$E$9+1,1))-AVERAGE(OFFSET($H$3,0,0,'Données projet'!$E$9+1,1))</f>
        <v>403.49781966317852</v>
      </c>
      <c r="T168" s="60">
        <f t="shared" si="142"/>
        <v>326.06674572505409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0</v>
      </c>
      <c r="AA168" s="23">
        <f>EXP(-LN(2)/25)*AA167+(1-EXP(-LN(2)/25))/(LN(2)/25)*Calculateur!V168*Calculateur!X168*VLOOKUP('Données projet'!$B$9,Paramètres!$A$1:$I$89,3,0)*0.475*44/12</f>
        <v>0</v>
      </c>
      <c r="AB168" s="23">
        <f>EXP(-LN(2)/2)*AB167+(1-EXP(-LN(2)/2))/(LN(2)/2)*V168*Y168*VLOOKUP('Données projet'!$B$9,Paramètres!$A$1:$I$89,3,0)*0.475*44/12</f>
        <v>0</v>
      </c>
      <c r="AC168" s="24">
        <f t="shared" si="163"/>
        <v>0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-1.1368683772161603E-13</v>
      </c>
      <c r="AJ168" s="14">
        <f>AI168*VLOOKUP('Données projet'!$B$10,Paramètres!$A$1:$I$89,3,0)*VLOOKUP('Données projet'!$B$10,Paramètres!$A$1:$I$89,5,0)</f>
        <v>-9.9316821433603781E-14</v>
      </c>
      <c r="AK168" s="14" t="e">
        <f t="shared" si="164"/>
        <v>#NUM!</v>
      </c>
      <c r="AL168" s="22" t="e">
        <f t="shared" si="165"/>
        <v>#NUM!</v>
      </c>
      <c r="AM168" s="60" t="e">
        <f t="shared" si="113"/>
        <v>#NUM!</v>
      </c>
      <c r="AN168" s="60">
        <f ca="1">AVERAGE(OFFSET($AM$3,0,0,'Données projet'!$E$10+1,1))-AVERAGE(OFFSET($H$3,0,0,'Données projet'!$E$10+1,1))</f>
        <v>274.66236526869056</v>
      </c>
      <c r="AO168" s="60">
        <f t="shared" si="144"/>
        <v>256.90876395053073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>
        <f>EXP(-LN(2)/35)*AU167+(1-EXP(-LN(2)/35))/(LN(2)/35)*AQ168*AR168*VLOOKUP('Données projet'!$B$10,Paramètres!$A$1:$I$89,3,0)*0.475*44/12</f>
        <v>0</v>
      </c>
      <c r="AV168" s="23">
        <f>EXP(-LN(2)/25)*AV167+(1-EXP(-LN(2)/25))/(LN(2)/25)*Calculateur!AQ168*Calculateur!AS168*VLOOKUP('Données projet'!$B$10,Paramètres!$A$1:$I$89,3,0)*0.475*44/12</f>
        <v>0</v>
      </c>
      <c r="AW168" s="23">
        <f>EXP(-LN(2)/2)*AW167+(1-EXP(-LN(2)/2))/(LN(2)/2)*AQ168*AT168*VLOOKUP('Données projet'!$B$10,Paramètres!$A$1:$I$89,3,0)*0.475*44/12</f>
        <v>0</v>
      </c>
      <c r="AX168" s="23">
        <f t="shared" si="166"/>
        <v>0</v>
      </c>
      <c r="AY168" s="76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-1.1368683772161603E-13</v>
      </c>
      <c r="BE168" s="14">
        <f>BD168*VLOOKUP('Données projet'!$B$11,Paramètres!$A$1:$I$89,3,0)*VLOOKUP('Données projet'!$B$11,Paramètres!$A$1:$I$89,5,0)</f>
        <v>-1.0286385077051818E-13</v>
      </c>
      <c r="BF168" s="14" t="e">
        <f t="shared" si="167"/>
        <v>#NUM!</v>
      </c>
      <c r="BG168" s="22" t="e">
        <f t="shared" si="168"/>
        <v>#NUM!</v>
      </c>
      <c r="BH168" s="60" t="e">
        <f t="shared" si="116"/>
        <v>#NUM!</v>
      </c>
      <c r="BI168" s="60">
        <f ca="1">AVERAGE(OFFSET($BH$3,0,0,'Données projet'!$E$11+1,1))-AVERAGE(OFFSET($H$3,0,0,'Données projet'!$E$11+1,1))</f>
        <v>529.25712986118265</v>
      </c>
      <c r="BJ168" s="60">
        <f t="shared" si="146"/>
        <v>278.21741231699929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>
        <f>EXP(-LN(2)/35)*BP167+(1-EXP(-LN(2)/35))/(LN(2)/35)*BL168*BM168*VLOOKUP('Données projet'!$B$11,Paramètres!$A$1:$I$89,3,0)*0.475*44/12</f>
        <v>0</v>
      </c>
      <c r="BQ168" s="23">
        <f>EXP(-LN(2)/25)*BQ167+(1-EXP(-LN(2)/25))/(LN(2)/25)*Calculateur!BL168*Calculateur!BN168*VLOOKUP('Données projet'!$B$11,Paramètres!$A$1:$I$89,3,0)*0.475*44/12</f>
        <v>0</v>
      </c>
      <c r="BR168" s="23">
        <f>EXP(-LN(2)/2)*BR167+(1-EXP(-LN(2)/2))/(LN(2)/2)*BL168*BO168*VLOOKUP('Données projet'!$B$11,Paramètres!$A$1:$I$89,3,0)*0.475*44/12</f>
        <v>0</v>
      </c>
      <c r="BS168" s="24">
        <f t="shared" si="169"/>
        <v>0</v>
      </c>
      <c r="BT168" s="77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-1.1368683772161603E-13</v>
      </c>
      <c r="BZ168" s="14">
        <f>BY168*VLOOKUP('Données projet'!$B$12,Paramètres!$A$1:$I$89,3,0)*VLOOKUP('Données projet'!$B$12,Paramètres!$A$1:$I$89,5,0)</f>
        <v>-1.1527845344971866E-13</v>
      </c>
      <c r="CA168" s="14" t="e">
        <f t="shared" si="170"/>
        <v>#NUM!</v>
      </c>
      <c r="CB168" s="22" t="e">
        <f t="shared" si="171"/>
        <v>#NUM!</v>
      </c>
      <c r="CC168" s="60" t="e">
        <f t="shared" si="119"/>
        <v>#NUM!</v>
      </c>
      <c r="CD168" s="60">
        <f ca="1">AVERAGE(OFFSET($CC$3,0,0,'Données projet'!$E$12+1,1))-AVERAGE(OFFSET($H$3,0,0,'Données projet'!$E$12+1,1))</f>
        <v>587.74247372331615</v>
      </c>
      <c r="CE168" s="60">
        <f t="shared" si="148"/>
        <v>306.61893266146666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>
        <f>EXP(-LN(2)/35)*CK167+(1-EXP(-LN(2)/35))/(LN(2)/35)*CG168*CH168*VLOOKUP('Données projet'!$B$12,Paramètres!$A$1:$I$89,3,0)*0.475*44/12</f>
        <v>0</v>
      </c>
      <c r="CL168" s="23">
        <f>EXP(-LN(2)/25)*CL167+(1-EXP(-LN(2)/25))/(LN(2)/25)*Calculateur!CG168*Calculateur!CI168*VLOOKUP('Données projet'!$B$12,Paramètres!$A$1:$I$89,3,0)*0.475*44/12</f>
        <v>0</v>
      </c>
      <c r="CM168" s="23">
        <f>EXP(-LN(2)/2)*CM167+(1-EXP(-LN(2)/2))/(LN(2)/2)*CG168*CJ168*VLOOKUP('Données projet'!$B$12,Paramètres!$A$1:$I$89,3,0)*0.475*44/12</f>
        <v>0</v>
      </c>
      <c r="CN168" s="24">
        <f t="shared" si="172"/>
        <v>0</v>
      </c>
      <c r="CO168" s="77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-1.1368683772161603E-13</v>
      </c>
      <c r="CU168" s="18">
        <f>CT168*VLOOKUP('Données projet'!$B$13,Paramètres!$A$1:$I$89,3,0)*VLOOKUP('Données projet'!$B$13,Paramètres!$A$1:$I$89,5,0)</f>
        <v>-1.223725121235475E-13</v>
      </c>
      <c r="CV168" s="14" t="e">
        <f t="shared" si="173"/>
        <v>#NUM!</v>
      </c>
      <c r="CW168" s="22" t="e">
        <f t="shared" si="174"/>
        <v>#NUM!</v>
      </c>
      <c r="CX168" s="60" t="e">
        <f t="shared" si="122"/>
        <v>#NUM!</v>
      </c>
      <c r="CY168" s="60">
        <f ca="1">AVERAGE(OFFSET($CX$3,0,0,'Données projet'!$E$13+1,1))-AVERAGE(OFFSET($H$3,0,0,'Données projet'!$E$13+1,1))</f>
        <v>621.10465023992288</v>
      </c>
      <c r="CZ168" s="60">
        <f t="shared" si="150"/>
        <v>322.81767004794284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>
        <f>EXP(-LN(2)/35)*DF167+(1-EXP(-LN(2)/35))/(LN(2)/35)*DB168*DC168*VLOOKUP('Données projet'!$B$13,Paramètres!$A$1:$I$89,3,0)*0.475*44/12</f>
        <v>0</v>
      </c>
      <c r="DG168" s="23">
        <f>EXP(-LN(2)/25)*DG167+(1-EXP(-LN(2)/25))/(LN(2)/25)*Calculateur!DB168*Calculateur!DD168*VLOOKUP('Données projet'!$B$13,Paramètres!$A$1:$I$89,3,0)*0.475*44/12</f>
        <v>0</v>
      </c>
      <c r="DH168" s="23">
        <f>EXP(-LN(2)/2)*DH167+(1-EXP(-LN(2)/2))/(LN(2)/2)*DB168*DE168*VLOOKUP('Données projet'!$B$13,Paramètres!$A$1:$I$89,3,0)*0.475*44/12</f>
        <v>0</v>
      </c>
      <c r="DI168" s="24">
        <f t="shared" si="175"/>
        <v>0</v>
      </c>
      <c r="DJ168" s="77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-1.1368683772161603E-13</v>
      </c>
      <c r="DP168" s="18">
        <f>DO168*VLOOKUP('Données projet'!$B$14,Paramètres!$A$1:$I$89,3,0)*VLOOKUP('Données projet'!$B$14,Paramètres!$A$1:$I$89,5,0)</f>
        <v>-1.0995790944434703E-13</v>
      </c>
      <c r="DQ168" s="14" t="e">
        <f t="shared" si="176"/>
        <v>#NUM!</v>
      </c>
      <c r="DR168" s="22" t="e">
        <f t="shared" si="177"/>
        <v>#NUM!</v>
      </c>
      <c r="DS168" s="60" t="e">
        <f t="shared" si="125"/>
        <v>#NUM!</v>
      </c>
      <c r="DT168" s="60">
        <f ca="1">AVERAGE(OFFSET($DS$3,0,0,'Données projet'!$E$14+1,1))-AVERAGE(OFFSET($H$3,0,0,'Données projet'!$E$14+1,1))</f>
        <v>562.69380557620775</v>
      </c>
      <c r="DU168" s="60">
        <f t="shared" si="152"/>
        <v>294.45557293177131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>
        <f>EXP(-LN(2)/35)*EA167+(1-EXP(-LN(2)/35))/(LN(2)/35)*DW168*DX168*VLOOKUP('Données projet'!$B$14,Paramètres!$A$1:$I$89,3,0)*0.475*44/12</f>
        <v>0</v>
      </c>
      <c r="EB168" s="23">
        <f>EXP(-LN(2)/25)*EB167+(1-EXP(-LN(2)/25))/(LN(2)/25)*Calculateur!DW168*Calculateur!DY168*VLOOKUP('Données projet'!$B$14,Paramètres!$A$1:$I$89,3,0)*0.475*44/12</f>
        <v>0</v>
      </c>
      <c r="EC168" s="23">
        <f>EXP(-LN(2)/2)*EC167+(1-EXP(-LN(2)/2))/(LN(2)/2)*DW168*DZ168*VLOOKUP('Données projet'!$B$14,Paramètres!$A$1:$I$89,3,0)*0.475*44/12</f>
        <v>0</v>
      </c>
      <c r="ED168" s="24">
        <f t="shared" si="178"/>
        <v>0</v>
      </c>
      <c r="EE168" s="77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1.1368683772161603E-13</v>
      </c>
      <c r="EK168" s="18">
        <f>EJ168*VLOOKUP('Données projet'!$B$15,Paramètres!$A$1:$I$89,3,0)*VLOOKUP('Données projet'!$B$15,Paramètres!$A$1:$I$89,5,0)</f>
        <v>8.8675733422860506E-14</v>
      </c>
      <c r="EL168" s="14">
        <f t="shared" si="179"/>
        <v>1.3509285393066301E-12</v>
      </c>
      <c r="EM168" s="22">
        <f t="shared" si="180"/>
        <v>2.5073107750038623E-12</v>
      </c>
      <c r="EN168" s="60">
        <f t="shared" si="128"/>
        <v>293.33333333333582</v>
      </c>
      <c r="EO168" s="60">
        <f ca="1">AVERAGE(OFFSET($EN$3,0,0,'Données projet'!$E$15+1,1))-AVERAGE(OFFSET($H$3,0,0,'Données projet'!$E$15+1,1))</f>
        <v>292.57482726862594</v>
      </c>
      <c r="EP168" s="60">
        <f t="shared" si="154"/>
        <v>283.48738729114024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>
        <f>EXP(-LN(2)/35)*EV167+(1-EXP(-LN(2)/35))/(LN(2)/35)*ER168*ES168*VLOOKUP('Données projet'!$B$15,Paramètres!$A$1:$I$89,3,0)*0.475*44/12</f>
        <v>0</v>
      </c>
      <c r="EW168" s="23">
        <f>EXP(-LN(2)/25)*EW167+(1-EXP(-LN(2)/25))/(LN(2)/25)*Calculateur!ER168*Calculateur!ET168*VLOOKUP('Données projet'!$B$15,Paramètres!$A$1:$I$89,3,0)*0.475*44/12</f>
        <v>0</v>
      </c>
      <c r="EX168" s="23">
        <f>EXP(-LN(2)/2)*EX167+(1-EXP(-LN(2)/2))/(LN(2)/2)*ER168*EU168*VLOOKUP('Données projet'!$B$15,Paramètres!$A$1:$I$89,3,0)*0.475*44/12</f>
        <v>0</v>
      </c>
      <c r="EY168" s="24">
        <f t="shared" si="181"/>
        <v>0</v>
      </c>
      <c r="EZ168" s="77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0" t="e">
        <f t="shared" si="131"/>
        <v>#N/A</v>
      </c>
      <c r="FJ168" s="60" t="e">
        <f ca="1">AVERAGE(OFFSET($FI$3,0,0,'Données projet'!$E$16+1,1))-AVERAGE(OFFSET($H$3,0,0,'Données projet'!$E$16+1,1))</f>
        <v>#N/A</v>
      </c>
      <c r="FK168" s="60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77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0" t="e">
        <f t="shared" si="134"/>
        <v>#N/A</v>
      </c>
      <c r="GE168" s="60" t="e">
        <f ca="1">AVERAGE(OFFSET($GD$3,0,0,'Données projet'!$E$17+1,1))-AVERAGE(OFFSET($H$3,0,0,'Données projet'!$E$17+1,1))</f>
        <v>#N/A</v>
      </c>
      <c r="GF168" s="60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77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0" t="e">
        <f t="shared" si="137"/>
        <v>#N/A</v>
      </c>
      <c r="GZ168" s="60" t="e">
        <f ca="1">AVERAGE(OFFSET($GY$3,0,0,'Données projet'!$E$18+1,1))-AVERAGE(OFFSET($H$3,0,0,'Données projet'!$E$18+1,1))</f>
        <v>#N/A</v>
      </c>
      <c r="HA168" s="60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25">
      <c r="A169" s="11">
        <f t="shared" si="161"/>
        <v>166</v>
      </c>
      <c r="B169" s="74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2">
        <f t="shared" si="140"/>
        <v>0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0</v>
      </c>
      <c r="H169" s="67">
        <f t="shared" si="110"/>
        <v>256.66666666666669</v>
      </c>
      <c r="I169" s="7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1.1368683772161603E-13</v>
      </c>
      <c r="O169" s="14">
        <f>N169*VLOOKUP('Données projet'!$B$9,Paramètres!$A$1:$I$89,3,0)*VLOOKUP('Données projet'!$B$9,Paramètres!$A$1:$I$89,5,0)</f>
        <v>1.0818439477588981E-13</v>
      </c>
      <c r="P169" s="14">
        <f t="shared" si="141"/>
        <v>1.6104228458716316E-12</v>
      </c>
      <c r="Q169" s="22">
        <f t="shared" si="162"/>
        <v>2.9932409441277661E-12</v>
      </c>
      <c r="R169" s="60">
        <f t="shared" si="109"/>
        <v>293.33333333333633</v>
      </c>
      <c r="S169" s="60">
        <f ca="1">AVERAGE(OFFSET($R$3,0,0,'Données projet'!$E$9+1,1))-AVERAGE(OFFSET($H$3,0,0,'Données projet'!$E$9+1,1))</f>
        <v>403.49781966317852</v>
      </c>
      <c r="T169" s="60">
        <f t="shared" si="142"/>
        <v>326.06674572505409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0</v>
      </c>
      <c r="AA169" s="23">
        <f>EXP(-LN(2)/25)*AA168+(1-EXP(-LN(2)/25))/(LN(2)/25)*Calculateur!V169*Calculateur!X169*VLOOKUP('Données projet'!$B$9,Paramètres!$A$1:$I$89,3,0)*0.475*44/12</f>
        <v>0</v>
      </c>
      <c r="AB169" s="23">
        <f>EXP(-LN(2)/2)*AB168+(1-EXP(-LN(2)/2))/(LN(2)/2)*V169*Y169*VLOOKUP('Données projet'!$B$9,Paramètres!$A$1:$I$89,3,0)*0.475*44/12</f>
        <v>0</v>
      </c>
      <c r="AC169" s="24">
        <f t="shared" si="163"/>
        <v>0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-1.1368683772161603E-13</v>
      </c>
      <c r="AJ169" s="14">
        <f>AI169*VLOOKUP('Données projet'!$B$10,Paramètres!$A$1:$I$89,3,0)*VLOOKUP('Données projet'!$B$10,Paramètres!$A$1:$I$89,5,0)</f>
        <v>-9.9316821433603781E-14</v>
      </c>
      <c r="AK169" s="14" t="e">
        <f t="shared" si="164"/>
        <v>#NUM!</v>
      </c>
      <c r="AL169" s="22" t="e">
        <f t="shared" si="165"/>
        <v>#NUM!</v>
      </c>
      <c r="AM169" s="60" t="e">
        <f t="shared" si="113"/>
        <v>#NUM!</v>
      </c>
      <c r="AN169" s="60">
        <f ca="1">AVERAGE(OFFSET($AM$3,0,0,'Données projet'!$E$10+1,1))-AVERAGE(OFFSET($H$3,0,0,'Données projet'!$E$10+1,1))</f>
        <v>274.66236526869056</v>
      </c>
      <c r="AO169" s="60">
        <f t="shared" si="144"/>
        <v>256.90876395053073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>
        <f>EXP(-LN(2)/35)*AU168+(1-EXP(-LN(2)/35))/(LN(2)/35)*AQ169*AR169*VLOOKUP('Données projet'!$B$10,Paramètres!$A$1:$I$89,3,0)*0.475*44/12</f>
        <v>0</v>
      </c>
      <c r="AV169" s="23">
        <f>EXP(-LN(2)/25)*AV168+(1-EXP(-LN(2)/25))/(LN(2)/25)*Calculateur!AQ169*Calculateur!AS169*VLOOKUP('Données projet'!$B$10,Paramètres!$A$1:$I$89,3,0)*0.475*44/12</f>
        <v>0</v>
      </c>
      <c r="AW169" s="23">
        <f>EXP(-LN(2)/2)*AW168+(1-EXP(-LN(2)/2))/(LN(2)/2)*AQ169*AT169*VLOOKUP('Données projet'!$B$10,Paramètres!$A$1:$I$89,3,0)*0.475*44/12</f>
        <v>0</v>
      </c>
      <c r="AX169" s="23">
        <f t="shared" si="166"/>
        <v>0</v>
      </c>
      <c r="AY169" s="76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-1.1368683772161603E-13</v>
      </c>
      <c r="BE169" s="14">
        <f>BD169*VLOOKUP('Données projet'!$B$11,Paramètres!$A$1:$I$89,3,0)*VLOOKUP('Données projet'!$B$11,Paramètres!$A$1:$I$89,5,0)</f>
        <v>-1.0286385077051818E-13</v>
      </c>
      <c r="BF169" s="14" t="e">
        <f t="shared" si="167"/>
        <v>#NUM!</v>
      </c>
      <c r="BG169" s="22" t="e">
        <f t="shared" si="168"/>
        <v>#NUM!</v>
      </c>
      <c r="BH169" s="60" t="e">
        <f t="shared" si="116"/>
        <v>#NUM!</v>
      </c>
      <c r="BI169" s="60">
        <f ca="1">AVERAGE(OFFSET($BH$3,0,0,'Données projet'!$E$11+1,1))-AVERAGE(OFFSET($H$3,0,0,'Données projet'!$E$11+1,1))</f>
        <v>529.25712986118265</v>
      </c>
      <c r="BJ169" s="60">
        <f t="shared" si="146"/>
        <v>278.21741231699929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>
        <f>EXP(-LN(2)/35)*BP168+(1-EXP(-LN(2)/35))/(LN(2)/35)*BL169*BM169*VLOOKUP('Données projet'!$B$11,Paramètres!$A$1:$I$89,3,0)*0.475*44/12</f>
        <v>0</v>
      </c>
      <c r="BQ169" s="23">
        <f>EXP(-LN(2)/25)*BQ168+(1-EXP(-LN(2)/25))/(LN(2)/25)*Calculateur!BL169*Calculateur!BN169*VLOOKUP('Données projet'!$B$11,Paramètres!$A$1:$I$89,3,0)*0.475*44/12</f>
        <v>0</v>
      </c>
      <c r="BR169" s="23">
        <f>EXP(-LN(2)/2)*BR168+(1-EXP(-LN(2)/2))/(LN(2)/2)*BL169*BO169*VLOOKUP('Données projet'!$B$11,Paramètres!$A$1:$I$89,3,0)*0.475*44/12</f>
        <v>0</v>
      </c>
      <c r="BS169" s="24">
        <f t="shared" si="169"/>
        <v>0</v>
      </c>
      <c r="BT169" s="77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-1.1368683772161603E-13</v>
      </c>
      <c r="BZ169" s="14">
        <f>BY169*VLOOKUP('Données projet'!$B$12,Paramètres!$A$1:$I$89,3,0)*VLOOKUP('Données projet'!$B$12,Paramètres!$A$1:$I$89,5,0)</f>
        <v>-1.1527845344971866E-13</v>
      </c>
      <c r="CA169" s="14" t="e">
        <f t="shared" si="170"/>
        <v>#NUM!</v>
      </c>
      <c r="CB169" s="22" t="e">
        <f t="shared" si="171"/>
        <v>#NUM!</v>
      </c>
      <c r="CC169" s="60" t="e">
        <f t="shared" si="119"/>
        <v>#NUM!</v>
      </c>
      <c r="CD169" s="60">
        <f ca="1">AVERAGE(OFFSET($CC$3,0,0,'Données projet'!$E$12+1,1))-AVERAGE(OFFSET($H$3,0,0,'Données projet'!$E$12+1,1))</f>
        <v>587.74247372331615</v>
      </c>
      <c r="CE169" s="60">
        <f t="shared" si="148"/>
        <v>306.61893266146666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>
        <f>EXP(-LN(2)/35)*CK168+(1-EXP(-LN(2)/35))/(LN(2)/35)*CG169*CH169*VLOOKUP('Données projet'!$B$12,Paramètres!$A$1:$I$89,3,0)*0.475*44/12</f>
        <v>0</v>
      </c>
      <c r="CL169" s="23">
        <f>EXP(-LN(2)/25)*CL168+(1-EXP(-LN(2)/25))/(LN(2)/25)*Calculateur!CG169*Calculateur!CI169*VLOOKUP('Données projet'!$B$12,Paramètres!$A$1:$I$89,3,0)*0.475*44/12</f>
        <v>0</v>
      </c>
      <c r="CM169" s="23">
        <f>EXP(-LN(2)/2)*CM168+(1-EXP(-LN(2)/2))/(LN(2)/2)*CG169*CJ169*VLOOKUP('Données projet'!$B$12,Paramètres!$A$1:$I$89,3,0)*0.475*44/12</f>
        <v>0</v>
      </c>
      <c r="CN169" s="24">
        <f t="shared" si="172"/>
        <v>0</v>
      </c>
      <c r="CO169" s="77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-1.1368683772161603E-13</v>
      </c>
      <c r="CU169" s="18">
        <f>CT169*VLOOKUP('Données projet'!$B$13,Paramètres!$A$1:$I$89,3,0)*VLOOKUP('Données projet'!$B$13,Paramètres!$A$1:$I$89,5,0)</f>
        <v>-1.223725121235475E-13</v>
      </c>
      <c r="CV169" s="14" t="e">
        <f t="shared" si="173"/>
        <v>#NUM!</v>
      </c>
      <c r="CW169" s="22" t="e">
        <f t="shared" si="174"/>
        <v>#NUM!</v>
      </c>
      <c r="CX169" s="60" t="e">
        <f t="shared" si="122"/>
        <v>#NUM!</v>
      </c>
      <c r="CY169" s="60">
        <f ca="1">AVERAGE(OFFSET($CX$3,0,0,'Données projet'!$E$13+1,1))-AVERAGE(OFFSET($H$3,0,0,'Données projet'!$E$13+1,1))</f>
        <v>621.10465023992288</v>
      </c>
      <c r="CZ169" s="60">
        <f t="shared" si="150"/>
        <v>322.81767004794284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>
        <f>EXP(-LN(2)/35)*DF168+(1-EXP(-LN(2)/35))/(LN(2)/35)*DB169*DC169*VLOOKUP('Données projet'!$B$13,Paramètres!$A$1:$I$89,3,0)*0.475*44/12</f>
        <v>0</v>
      </c>
      <c r="DG169" s="23">
        <f>EXP(-LN(2)/25)*DG168+(1-EXP(-LN(2)/25))/(LN(2)/25)*Calculateur!DB169*Calculateur!DD169*VLOOKUP('Données projet'!$B$13,Paramètres!$A$1:$I$89,3,0)*0.475*44/12</f>
        <v>0</v>
      </c>
      <c r="DH169" s="23">
        <f>EXP(-LN(2)/2)*DH168+(1-EXP(-LN(2)/2))/(LN(2)/2)*DB169*DE169*VLOOKUP('Données projet'!$B$13,Paramètres!$A$1:$I$89,3,0)*0.475*44/12</f>
        <v>0</v>
      </c>
      <c r="DI169" s="24">
        <f t="shared" si="175"/>
        <v>0</v>
      </c>
      <c r="DJ169" s="77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-1.1368683772161603E-13</v>
      </c>
      <c r="DP169" s="18">
        <f>DO169*VLOOKUP('Données projet'!$B$14,Paramètres!$A$1:$I$89,3,0)*VLOOKUP('Données projet'!$B$14,Paramètres!$A$1:$I$89,5,0)</f>
        <v>-1.0995790944434703E-13</v>
      </c>
      <c r="DQ169" s="14" t="e">
        <f t="shared" si="176"/>
        <v>#NUM!</v>
      </c>
      <c r="DR169" s="22" t="e">
        <f t="shared" si="177"/>
        <v>#NUM!</v>
      </c>
      <c r="DS169" s="60" t="e">
        <f t="shared" si="125"/>
        <v>#NUM!</v>
      </c>
      <c r="DT169" s="60">
        <f ca="1">AVERAGE(OFFSET($DS$3,0,0,'Données projet'!$E$14+1,1))-AVERAGE(OFFSET($H$3,0,0,'Données projet'!$E$14+1,1))</f>
        <v>562.69380557620775</v>
      </c>
      <c r="DU169" s="60">
        <f t="shared" si="152"/>
        <v>294.45557293177131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>
        <f>EXP(-LN(2)/35)*EA168+(1-EXP(-LN(2)/35))/(LN(2)/35)*DW169*DX169*VLOOKUP('Données projet'!$B$14,Paramètres!$A$1:$I$89,3,0)*0.475*44/12</f>
        <v>0</v>
      </c>
      <c r="EB169" s="23">
        <f>EXP(-LN(2)/25)*EB168+(1-EXP(-LN(2)/25))/(LN(2)/25)*Calculateur!DW169*Calculateur!DY169*VLOOKUP('Données projet'!$B$14,Paramètres!$A$1:$I$89,3,0)*0.475*44/12</f>
        <v>0</v>
      </c>
      <c r="EC169" s="23">
        <f>EXP(-LN(2)/2)*EC168+(1-EXP(-LN(2)/2))/(LN(2)/2)*DW169*DZ169*VLOOKUP('Données projet'!$B$14,Paramètres!$A$1:$I$89,3,0)*0.475*44/12</f>
        <v>0</v>
      </c>
      <c r="ED169" s="24">
        <f t="shared" si="178"/>
        <v>0</v>
      </c>
      <c r="EE169" s="77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1.1368683772161603E-13</v>
      </c>
      <c r="EK169" s="18">
        <f>EJ169*VLOOKUP('Données projet'!$B$15,Paramètres!$A$1:$I$89,3,0)*VLOOKUP('Données projet'!$B$15,Paramètres!$A$1:$I$89,5,0)</f>
        <v>8.8675733422860506E-14</v>
      </c>
      <c r="EL169" s="14">
        <f t="shared" si="179"/>
        <v>1.3509285393066301E-12</v>
      </c>
      <c r="EM169" s="22">
        <f t="shared" si="180"/>
        <v>2.5073107750038623E-12</v>
      </c>
      <c r="EN169" s="60">
        <f t="shared" si="128"/>
        <v>293.33333333333582</v>
      </c>
      <c r="EO169" s="60">
        <f ca="1">AVERAGE(OFFSET($EN$3,0,0,'Données projet'!$E$15+1,1))-AVERAGE(OFFSET($H$3,0,0,'Données projet'!$E$15+1,1))</f>
        <v>292.57482726862594</v>
      </c>
      <c r="EP169" s="60">
        <f t="shared" si="154"/>
        <v>283.48738729114024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>
        <f>EXP(-LN(2)/35)*EV168+(1-EXP(-LN(2)/35))/(LN(2)/35)*ER169*ES169*VLOOKUP('Données projet'!$B$15,Paramètres!$A$1:$I$89,3,0)*0.475*44/12</f>
        <v>0</v>
      </c>
      <c r="EW169" s="23">
        <f>EXP(-LN(2)/25)*EW168+(1-EXP(-LN(2)/25))/(LN(2)/25)*Calculateur!ER169*Calculateur!ET169*VLOOKUP('Données projet'!$B$15,Paramètres!$A$1:$I$89,3,0)*0.475*44/12</f>
        <v>0</v>
      </c>
      <c r="EX169" s="23">
        <f>EXP(-LN(2)/2)*EX168+(1-EXP(-LN(2)/2))/(LN(2)/2)*ER169*EU169*VLOOKUP('Données projet'!$B$15,Paramètres!$A$1:$I$89,3,0)*0.475*44/12</f>
        <v>0</v>
      </c>
      <c r="EY169" s="24">
        <f t="shared" si="181"/>
        <v>0</v>
      </c>
      <c r="EZ169" s="77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0" t="e">
        <f t="shared" si="131"/>
        <v>#N/A</v>
      </c>
      <c r="FJ169" s="60" t="e">
        <f ca="1">AVERAGE(OFFSET($FI$3,0,0,'Données projet'!$E$16+1,1))-AVERAGE(OFFSET($H$3,0,0,'Données projet'!$E$16+1,1))</f>
        <v>#N/A</v>
      </c>
      <c r="FK169" s="60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77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0" t="e">
        <f t="shared" si="134"/>
        <v>#N/A</v>
      </c>
      <c r="GE169" s="60" t="e">
        <f ca="1">AVERAGE(OFFSET($GD$3,0,0,'Données projet'!$E$17+1,1))-AVERAGE(OFFSET($H$3,0,0,'Données projet'!$E$17+1,1))</f>
        <v>#N/A</v>
      </c>
      <c r="GF169" s="60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77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0" t="e">
        <f t="shared" si="137"/>
        <v>#N/A</v>
      </c>
      <c r="GZ169" s="60" t="e">
        <f ca="1">AVERAGE(OFFSET($GY$3,0,0,'Données projet'!$E$18+1,1))-AVERAGE(OFFSET($H$3,0,0,'Données projet'!$E$18+1,1))</f>
        <v>#N/A</v>
      </c>
      <c r="HA169" s="60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25">
      <c r="A170" s="11">
        <f t="shared" si="161"/>
        <v>167</v>
      </c>
      <c r="B170" s="74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2">
        <f t="shared" si="140"/>
        <v>0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0</v>
      </c>
      <c r="H170" s="67">
        <f t="shared" si="110"/>
        <v>256.66666666666669</v>
      </c>
      <c r="I170" s="7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1.1368683772161603E-13</v>
      </c>
      <c r="O170" s="14">
        <f>N170*VLOOKUP('Données projet'!$B$9,Paramètres!$A$1:$I$89,3,0)*VLOOKUP('Données projet'!$B$9,Paramètres!$A$1:$I$89,5,0)</f>
        <v>1.0818439477588981E-13</v>
      </c>
      <c r="P170" s="14">
        <f t="shared" si="141"/>
        <v>1.6104228458716316E-12</v>
      </c>
      <c r="Q170" s="22">
        <f t="shared" si="162"/>
        <v>2.9932409441277661E-12</v>
      </c>
      <c r="R170" s="60">
        <f t="shared" si="109"/>
        <v>293.33333333333633</v>
      </c>
      <c r="S170" s="60">
        <f ca="1">AVERAGE(OFFSET($R$3,0,0,'Données projet'!$E$9+1,1))-AVERAGE(OFFSET($H$3,0,0,'Données projet'!$E$9+1,1))</f>
        <v>403.49781966317852</v>
      </c>
      <c r="T170" s="60">
        <f t="shared" si="142"/>
        <v>326.06674572505409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0</v>
      </c>
      <c r="AA170" s="23">
        <f>EXP(-LN(2)/25)*AA169+(1-EXP(-LN(2)/25))/(LN(2)/25)*Calculateur!V170*Calculateur!X170*VLOOKUP('Données projet'!$B$9,Paramètres!$A$1:$I$89,3,0)*0.475*44/12</f>
        <v>0</v>
      </c>
      <c r="AB170" s="23">
        <f>EXP(-LN(2)/2)*AB169+(1-EXP(-LN(2)/2))/(LN(2)/2)*V170*Y170*VLOOKUP('Données projet'!$B$9,Paramètres!$A$1:$I$89,3,0)*0.475*44/12</f>
        <v>0</v>
      </c>
      <c r="AC170" s="24">
        <f t="shared" si="163"/>
        <v>0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-1.1368683772161603E-13</v>
      </c>
      <c r="AJ170" s="14">
        <f>AI170*VLOOKUP('Données projet'!$B$10,Paramètres!$A$1:$I$89,3,0)*VLOOKUP('Données projet'!$B$10,Paramètres!$A$1:$I$89,5,0)</f>
        <v>-9.9316821433603781E-14</v>
      </c>
      <c r="AK170" s="14" t="e">
        <f t="shared" si="164"/>
        <v>#NUM!</v>
      </c>
      <c r="AL170" s="22" t="e">
        <f t="shared" si="165"/>
        <v>#NUM!</v>
      </c>
      <c r="AM170" s="60" t="e">
        <f t="shared" si="113"/>
        <v>#NUM!</v>
      </c>
      <c r="AN170" s="60">
        <f ca="1">AVERAGE(OFFSET($AM$3,0,0,'Données projet'!$E$10+1,1))-AVERAGE(OFFSET($H$3,0,0,'Données projet'!$E$10+1,1))</f>
        <v>274.66236526869056</v>
      </c>
      <c r="AO170" s="60">
        <f t="shared" si="144"/>
        <v>256.90876395053073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>
        <f>EXP(-LN(2)/35)*AU169+(1-EXP(-LN(2)/35))/(LN(2)/35)*AQ170*AR170*VLOOKUP('Données projet'!$B$10,Paramètres!$A$1:$I$89,3,0)*0.475*44/12</f>
        <v>0</v>
      </c>
      <c r="AV170" s="23">
        <f>EXP(-LN(2)/25)*AV169+(1-EXP(-LN(2)/25))/(LN(2)/25)*Calculateur!AQ170*Calculateur!AS170*VLOOKUP('Données projet'!$B$10,Paramètres!$A$1:$I$89,3,0)*0.475*44/12</f>
        <v>0</v>
      </c>
      <c r="AW170" s="23">
        <f>EXP(-LN(2)/2)*AW169+(1-EXP(-LN(2)/2))/(LN(2)/2)*AQ170*AT170*VLOOKUP('Données projet'!$B$10,Paramètres!$A$1:$I$89,3,0)*0.475*44/12</f>
        <v>0</v>
      </c>
      <c r="AX170" s="23">
        <f t="shared" si="166"/>
        <v>0</v>
      </c>
      <c r="AY170" s="76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-1.1368683772161603E-13</v>
      </c>
      <c r="BE170" s="14">
        <f>BD170*VLOOKUP('Données projet'!$B$11,Paramètres!$A$1:$I$89,3,0)*VLOOKUP('Données projet'!$B$11,Paramètres!$A$1:$I$89,5,0)</f>
        <v>-1.0286385077051818E-13</v>
      </c>
      <c r="BF170" s="14" t="e">
        <f t="shared" si="167"/>
        <v>#NUM!</v>
      </c>
      <c r="BG170" s="22" t="e">
        <f t="shared" si="168"/>
        <v>#NUM!</v>
      </c>
      <c r="BH170" s="60" t="e">
        <f t="shared" si="116"/>
        <v>#NUM!</v>
      </c>
      <c r="BI170" s="60">
        <f ca="1">AVERAGE(OFFSET($BH$3,0,0,'Données projet'!$E$11+1,1))-AVERAGE(OFFSET($H$3,0,0,'Données projet'!$E$11+1,1))</f>
        <v>529.25712986118265</v>
      </c>
      <c r="BJ170" s="60">
        <f t="shared" si="146"/>
        <v>278.21741231699929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>
        <f>EXP(-LN(2)/35)*BP169+(1-EXP(-LN(2)/35))/(LN(2)/35)*BL170*BM170*VLOOKUP('Données projet'!$B$11,Paramètres!$A$1:$I$89,3,0)*0.475*44/12</f>
        <v>0</v>
      </c>
      <c r="BQ170" s="23">
        <f>EXP(-LN(2)/25)*BQ169+(1-EXP(-LN(2)/25))/(LN(2)/25)*Calculateur!BL170*Calculateur!BN170*VLOOKUP('Données projet'!$B$11,Paramètres!$A$1:$I$89,3,0)*0.475*44/12</f>
        <v>0</v>
      </c>
      <c r="BR170" s="23">
        <f>EXP(-LN(2)/2)*BR169+(1-EXP(-LN(2)/2))/(LN(2)/2)*BL170*BO170*VLOOKUP('Données projet'!$B$11,Paramètres!$A$1:$I$89,3,0)*0.475*44/12</f>
        <v>0</v>
      </c>
      <c r="BS170" s="24">
        <f t="shared" si="169"/>
        <v>0</v>
      </c>
      <c r="BT170" s="77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-1.1368683772161603E-13</v>
      </c>
      <c r="BZ170" s="14">
        <f>BY170*VLOOKUP('Données projet'!$B$12,Paramètres!$A$1:$I$89,3,0)*VLOOKUP('Données projet'!$B$12,Paramètres!$A$1:$I$89,5,0)</f>
        <v>-1.1527845344971866E-13</v>
      </c>
      <c r="CA170" s="14" t="e">
        <f t="shared" si="170"/>
        <v>#NUM!</v>
      </c>
      <c r="CB170" s="22" t="e">
        <f t="shared" si="171"/>
        <v>#NUM!</v>
      </c>
      <c r="CC170" s="60" t="e">
        <f t="shared" si="119"/>
        <v>#NUM!</v>
      </c>
      <c r="CD170" s="60">
        <f ca="1">AVERAGE(OFFSET($CC$3,0,0,'Données projet'!$E$12+1,1))-AVERAGE(OFFSET($H$3,0,0,'Données projet'!$E$12+1,1))</f>
        <v>587.74247372331615</v>
      </c>
      <c r="CE170" s="60">
        <f t="shared" si="148"/>
        <v>306.61893266146666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>
        <f>EXP(-LN(2)/35)*CK169+(1-EXP(-LN(2)/35))/(LN(2)/35)*CG170*CH170*VLOOKUP('Données projet'!$B$12,Paramètres!$A$1:$I$89,3,0)*0.475*44/12</f>
        <v>0</v>
      </c>
      <c r="CL170" s="23">
        <f>EXP(-LN(2)/25)*CL169+(1-EXP(-LN(2)/25))/(LN(2)/25)*Calculateur!CG170*Calculateur!CI170*VLOOKUP('Données projet'!$B$12,Paramètres!$A$1:$I$89,3,0)*0.475*44/12</f>
        <v>0</v>
      </c>
      <c r="CM170" s="23">
        <f>EXP(-LN(2)/2)*CM169+(1-EXP(-LN(2)/2))/(LN(2)/2)*CG170*CJ170*VLOOKUP('Données projet'!$B$12,Paramètres!$A$1:$I$89,3,0)*0.475*44/12</f>
        <v>0</v>
      </c>
      <c r="CN170" s="24">
        <f t="shared" si="172"/>
        <v>0</v>
      </c>
      <c r="CO170" s="77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-1.1368683772161603E-13</v>
      </c>
      <c r="CU170" s="18">
        <f>CT170*VLOOKUP('Données projet'!$B$13,Paramètres!$A$1:$I$89,3,0)*VLOOKUP('Données projet'!$B$13,Paramètres!$A$1:$I$89,5,0)</f>
        <v>-1.223725121235475E-13</v>
      </c>
      <c r="CV170" s="14" t="e">
        <f t="shared" si="173"/>
        <v>#NUM!</v>
      </c>
      <c r="CW170" s="22" t="e">
        <f t="shared" si="174"/>
        <v>#NUM!</v>
      </c>
      <c r="CX170" s="60" t="e">
        <f t="shared" si="122"/>
        <v>#NUM!</v>
      </c>
      <c r="CY170" s="60">
        <f ca="1">AVERAGE(OFFSET($CX$3,0,0,'Données projet'!$E$13+1,1))-AVERAGE(OFFSET($H$3,0,0,'Données projet'!$E$13+1,1))</f>
        <v>621.10465023992288</v>
      </c>
      <c r="CZ170" s="60">
        <f t="shared" si="150"/>
        <v>322.81767004794284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>
        <f>EXP(-LN(2)/35)*DF169+(1-EXP(-LN(2)/35))/(LN(2)/35)*DB170*DC170*VLOOKUP('Données projet'!$B$13,Paramètres!$A$1:$I$89,3,0)*0.475*44/12</f>
        <v>0</v>
      </c>
      <c r="DG170" s="23">
        <f>EXP(-LN(2)/25)*DG169+(1-EXP(-LN(2)/25))/(LN(2)/25)*Calculateur!DB170*Calculateur!DD170*VLOOKUP('Données projet'!$B$13,Paramètres!$A$1:$I$89,3,0)*0.475*44/12</f>
        <v>0</v>
      </c>
      <c r="DH170" s="23">
        <f>EXP(-LN(2)/2)*DH169+(1-EXP(-LN(2)/2))/(LN(2)/2)*DB170*DE170*VLOOKUP('Données projet'!$B$13,Paramètres!$A$1:$I$89,3,0)*0.475*44/12</f>
        <v>0</v>
      </c>
      <c r="DI170" s="24">
        <f t="shared" si="175"/>
        <v>0</v>
      </c>
      <c r="DJ170" s="77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-1.1368683772161603E-13</v>
      </c>
      <c r="DP170" s="18">
        <f>DO170*VLOOKUP('Données projet'!$B$14,Paramètres!$A$1:$I$89,3,0)*VLOOKUP('Données projet'!$B$14,Paramètres!$A$1:$I$89,5,0)</f>
        <v>-1.0995790944434703E-13</v>
      </c>
      <c r="DQ170" s="14" t="e">
        <f t="shared" si="176"/>
        <v>#NUM!</v>
      </c>
      <c r="DR170" s="22" t="e">
        <f t="shared" si="177"/>
        <v>#NUM!</v>
      </c>
      <c r="DS170" s="60" t="e">
        <f t="shared" si="125"/>
        <v>#NUM!</v>
      </c>
      <c r="DT170" s="60">
        <f ca="1">AVERAGE(OFFSET($DS$3,0,0,'Données projet'!$E$14+1,1))-AVERAGE(OFFSET($H$3,0,0,'Données projet'!$E$14+1,1))</f>
        <v>562.69380557620775</v>
      </c>
      <c r="DU170" s="60">
        <f t="shared" si="152"/>
        <v>294.45557293177131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>
        <f>EXP(-LN(2)/35)*EA169+(1-EXP(-LN(2)/35))/(LN(2)/35)*DW170*DX170*VLOOKUP('Données projet'!$B$14,Paramètres!$A$1:$I$89,3,0)*0.475*44/12</f>
        <v>0</v>
      </c>
      <c r="EB170" s="23">
        <f>EXP(-LN(2)/25)*EB169+(1-EXP(-LN(2)/25))/(LN(2)/25)*Calculateur!DW170*Calculateur!DY170*VLOOKUP('Données projet'!$B$14,Paramètres!$A$1:$I$89,3,0)*0.475*44/12</f>
        <v>0</v>
      </c>
      <c r="EC170" s="23">
        <f>EXP(-LN(2)/2)*EC169+(1-EXP(-LN(2)/2))/(LN(2)/2)*DW170*DZ170*VLOOKUP('Données projet'!$B$14,Paramètres!$A$1:$I$89,3,0)*0.475*44/12</f>
        <v>0</v>
      </c>
      <c r="ED170" s="24">
        <f t="shared" si="178"/>
        <v>0</v>
      </c>
      <c r="EE170" s="77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1.1368683772161603E-13</v>
      </c>
      <c r="EK170" s="18">
        <f>EJ170*VLOOKUP('Données projet'!$B$15,Paramètres!$A$1:$I$89,3,0)*VLOOKUP('Données projet'!$B$15,Paramètres!$A$1:$I$89,5,0)</f>
        <v>8.8675733422860506E-14</v>
      </c>
      <c r="EL170" s="14">
        <f t="shared" si="179"/>
        <v>1.3509285393066301E-12</v>
      </c>
      <c r="EM170" s="22">
        <f t="shared" si="180"/>
        <v>2.5073107750038623E-12</v>
      </c>
      <c r="EN170" s="60">
        <f t="shared" si="128"/>
        <v>293.33333333333582</v>
      </c>
      <c r="EO170" s="60">
        <f ca="1">AVERAGE(OFFSET($EN$3,0,0,'Données projet'!$E$15+1,1))-AVERAGE(OFFSET($H$3,0,0,'Données projet'!$E$15+1,1))</f>
        <v>292.57482726862594</v>
      </c>
      <c r="EP170" s="60">
        <f t="shared" si="154"/>
        <v>283.48738729114024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>
        <f>EXP(-LN(2)/35)*EV169+(1-EXP(-LN(2)/35))/(LN(2)/35)*ER170*ES170*VLOOKUP('Données projet'!$B$15,Paramètres!$A$1:$I$89,3,0)*0.475*44/12</f>
        <v>0</v>
      </c>
      <c r="EW170" s="23">
        <f>EXP(-LN(2)/25)*EW169+(1-EXP(-LN(2)/25))/(LN(2)/25)*Calculateur!ER170*Calculateur!ET170*VLOOKUP('Données projet'!$B$15,Paramètres!$A$1:$I$89,3,0)*0.475*44/12</f>
        <v>0</v>
      </c>
      <c r="EX170" s="23">
        <f>EXP(-LN(2)/2)*EX169+(1-EXP(-LN(2)/2))/(LN(2)/2)*ER170*EU170*VLOOKUP('Données projet'!$B$15,Paramètres!$A$1:$I$89,3,0)*0.475*44/12</f>
        <v>0</v>
      </c>
      <c r="EY170" s="24">
        <f t="shared" si="181"/>
        <v>0</v>
      </c>
      <c r="EZ170" s="77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0" t="e">
        <f t="shared" si="131"/>
        <v>#N/A</v>
      </c>
      <c r="FJ170" s="60" t="e">
        <f ca="1">AVERAGE(OFFSET($FI$3,0,0,'Données projet'!$E$16+1,1))-AVERAGE(OFFSET($H$3,0,0,'Données projet'!$E$16+1,1))</f>
        <v>#N/A</v>
      </c>
      <c r="FK170" s="60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77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0" t="e">
        <f t="shared" si="134"/>
        <v>#N/A</v>
      </c>
      <c r="GE170" s="60" t="e">
        <f ca="1">AVERAGE(OFFSET($GD$3,0,0,'Données projet'!$E$17+1,1))-AVERAGE(OFFSET($H$3,0,0,'Données projet'!$E$17+1,1))</f>
        <v>#N/A</v>
      </c>
      <c r="GF170" s="60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77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0" t="e">
        <f t="shared" si="137"/>
        <v>#N/A</v>
      </c>
      <c r="GZ170" s="60" t="e">
        <f ca="1">AVERAGE(OFFSET($GY$3,0,0,'Données projet'!$E$18+1,1))-AVERAGE(OFFSET($H$3,0,0,'Données projet'!$E$18+1,1))</f>
        <v>#N/A</v>
      </c>
      <c r="HA170" s="60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25">
      <c r="A171" s="11">
        <f t="shared" si="161"/>
        <v>168</v>
      </c>
      <c r="B171" s="74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2">
        <f t="shared" si="140"/>
        <v>0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0</v>
      </c>
      <c r="H171" s="67">
        <f t="shared" si="110"/>
        <v>256.66666666666669</v>
      </c>
      <c r="I171" s="7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1.1368683772161603E-13</v>
      </c>
      <c r="O171" s="14">
        <f>N171*VLOOKUP('Données projet'!$B$9,Paramètres!$A$1:$I$89,3,0)*VLOOKUP('Données projet'!$B$9,Paramètres!$A$1:$I$89,5,0)</f>
        <v>1.0818439477588981E-13</v>
      </c>
      <c r="P171" s="14">
        <f t="shared" si="141"/>
        <v>1.6104228458716316E-12</v>
      </c>
      <c r="Q171" s="22">
        <f t="shared" si="162"/>
        <v>2.9932409441277661E-12</v>
      </c>
      <c r="R171" s="60">
        <f t="shared" si="109"/>
        <v>293.33333333333633</v>
      </c>
      <c r="S171" s="60">
        <f ca="1">AVERAGE(OFFSET($R$3,0,0,'Données projet'!$E$9+1,1))-AVERAGE(OFFSET($H$3,0,0,'Données projet'!$E$9+1,1))</f>
        <v>403.49781966317852</v>
      </c>
      <c r="T171" s="60">
        <f t="shared" si="142"/>
        <v>326.06674572505409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0</v>
      </c>
      <c r="AA171" s="23">
        <f>EXP(-LN(2)/25)*AA170+(1-EXP(-LN(2)/25))/(LN(2)/25)*Calculateur!V171*Calculateur!X171*VLOOKUP('Données projet'!$B$9,Paramètres!$A$1:$I$89,3,0)*0.475*44/12</f>
        <v>0</v>
      </c>
      <c r="AB171" s="23">
        <f>EXP(-LN(2)/2)*AB170+(1-EXP(-LN(2)/2))/(LN(2)/2)*V171*Y171*VLOOKUP('Données projet'!$B$9,Paramètres!$A$1:$I$89,3,0)*0.475*44/12</f>
        <v>0</v>
      </c>
      <c r="AC171" s="24">
        <f t="shared" si="163"/>
        <v>0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-1.1368683772161603E-13</v>
      </c>
      <c r="AJ171" s="14">
        <f>AI171*VLOOKUP('Données projet'!$B$10,Paramètres!$A$1:$I$89,3,0)*VLOOKUP('Données projet'!$B$10,Paramètres!$A$1:$I$89,5,0)</f>
        <v>-9.9316821433603781E-14</v>
      </c>
      <c r="AK171" s="14" t="e">
        <f t="shared" si="164"/>
        <v>#NUM!</v>
      </c>
      <c r="AL171" s="22" t="e">
        <f t="shared" si="165"/>
        <v>#NUM!</v>
      </c>
      <c r="AM171" s="60" t="e">
        <f t="shared" si="113"/>
        <v>#NUM!</v>
      </c>
      <c r="AN171" s="60">
        <f ca="1">AVERAGE(OFFSET($AM$3,0,0,'Données projet'!$E$10+1,1))-AVERAGE(OFFSET($H$3,0,0,'Données projet'!$E$10+1,1))</f>
        <v>274.66236526869056</v>
      </c>
      <c r="AO171" s="60">
        <f t="shared" si="144"/>
        <v>256.90876395053073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>
        <f>EXP(-LN(2)/35)*AU170+(1-EXP(-LN(2)/35))/(LN(2)/35)*AQ171*AR171*VLOOKUP('Données projet'!$B$10,Paramètres!$A$1:$I$89,3,0)*0.475*44/12</f>
        <v>0</v>
      </c>
      <c r="AV171" s="23">
        <f>EXP(-LN(2)/25)*AV170+(1-EXP(-LN(2)/25))/(LN(2)/25)*Calculateur!AQ171*Calculateur!AS171*VLOOKUP('Données projet'!$B$10,Paramètres!$A$1:$I$89,3,0)*0.475*44/12</f>
        <v>0</v>
      </c>
      <c r="AW171" s="23">
        <f>EXP(-LN(2)/2)*AW170+(1-EXP(-LN(2)/2))/(LN(2)/2)*AQ171*AT171*VLOOKUP('Données projet'!$B$10,Paramètres!$A$1:$I$89,3,0)*0.475*44/12</f>
        <v>0</v>
      </c>
      <c r="AX171" s="23">
        <f t="shared" si="166"/>
        <v>0</v>
      </c>
      <c r="AY171" s="76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-1.1368683772161603E-13</v>
      </c>
      <c r="BE171" s="14">
        <f>BD171*VLOOKUP('Données projet'!$B$11,Paramètres!$A$1:$I$89,3,0)*VLOOKUP('Données projet'!$B$11,Paramètres!$A$1:$I$89,5,0)</f>
        <v>-1.0286385077051818E-13</v>
      </c>
      <c r="BF171" s="14" t="e">
        <f t="shared" si="167"/>
        <v>#NUM!</v>
      </c>
      <c r="BG171" s="22" t="e">
        <f t="shared" si="168"/>
        <v>#NUM!</v>
      </c>
      <c r="BH171" s="60" t="e">
        <f t="shared" si="116"/>
        <v>#NUM!</v>
      </c>
      <c r="BI171" s="60">
        <f ca="1">AVERAGE(OFFSET($BH$3,0,0,'Données projet'!$E$11+1,1))-AVERAGE(OFFSET($H$3,0,0,'Données projet'!$E$11+1,1))</f>
        <v>529.25712986118265</v>
      </c>
      <c r="BJ171" s="60">
        <f t="shared" si="146"/>
        <v>278.21741231699929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>
        <f>EXP(-LN(2)/35)*BP170+(1-EXP(-LN(2)/35))/(LN(2)/35)*BL171*BM171*VLOOKUP('Données projet'!$B$11,Paramètres!$A$1:$I$89,3,0)*0.475*44/12</f>
        <v>0</v>
      </c>
      <c r="BQ171" s="23">
        <f>EXP(-LN(2)/25)*BQ170+(1-EXP(-LN(2)/25))/(LN(2)/25)*Calculateur!BL171*Calculateur!BN171*VLOOKUP('Données projet'!$B$11,Paramètres!$A$1:$I$89,3,0)*0.475*44/12</f>
        <v>0</v>
      </c>
      <c r="BR171" s="23">
        <f>EXP(-LN(2)/2)*BR170+(1-EXP(-LN(2)/2))/(LN(2)/2)*BL171*BO171*VLOOKUP('Données projet'!$B$11,Paramètres!$A$1:$I$89,3,0)*0.475*44/12</f>
        <v>0</v>
      </c>
      <c r="BS171" s="24">
        <f t="shared" si="169"/>
        <v>0</v>
      </c>
      <c r="BT171" s="77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-1.1368683772161603E-13</v>
      </c>
      <c r="BZ171" s="14">
        <f>BY171*VLOOKUP('Données projet'!$B$12,Paramètres!$A$1:$I$89,3,0)*VLOOKUP('Données projet'!$B$12,Paramètres!$A$1:$I$89,5,0)</f>
        <v>-1.1527845344971866E-13</v>
      </c>
      <c r="CA171" s="14" t="e">
        <f t="shared" si="170"/>
        <v>#NUM!</v>
      </c>
      <c r="CB171" s="22" t="e">
        <f t="shared" si="171"/>
        <v>#NUM!</v>
      </c>
      <c r="CC171" s="60" t="e">
        <f t="shared" si="119"/>
        <v>#NUM!</v>
      </c>
      <c r="CD171" s="60">
        <f ca="1">AVERAGE(OFFSET($CC$3,0,0,'Données projet'!$E$12+1,1))-AVERAGE(OFFSET($H$3,0,0,'Données projet'!$E$12+1,1))</f>
        <v>587.74247372331615</v>
      </c>
      <c r="CE171" s="60">
        <f t="shared" si="148"/>
        <v>306.61893266146666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>
        <f>EXP(-LN(2)/35)*CK170+(1-EXP(-LN(2)/35))/(LN(2)/35)*CG171*CH171*VLOOKUP('Données projet'!$B$12,Paramètres!$A$1:$I$89,3,0)*0.475*44/12</f>
        <v>0</v>
      </c>
      <c r="CL171" s="23">
        <f>EXP(-LN(2)/25)*CL170+(1-EXP(-LN(2)/25))/(LN(2)/25)*Calculateur!CG171*Calculateur!CI171*VLOOKUP('Données projet'!$B$12,Paramètres!$A$1:$I$89,3,0)*0.475*44/12</f>
        <v>0</v>
      </c>
      <c r="CM171" s="23">
        <f>EXP(-LN(2)/2)*CM170+(1-EXP(-LN(2)/2))/(LN(2)/2)*CG171*CJ171*VLOOKUP('Données projet'!$B$12,Paramètres!$A$1:$I$89,3,0)*0.475*44/12</f>
        <v>0</v>
      </c>
      <c r="CN171" s="24">
        <f t="shared" si="172"/>
        <v>0</v>
      </c>
      <c r="CO171" s="77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-1.1368683772161603E-13</v>
      </c>
      <c r="CU171" s="18">
        <f>CT171*VLOOKUP('Données projet'!$B$13,Paramètres!$A$1:$I$89,3,0)*VLOOKUP('Données projet'!$B$13,Paramètres!$A$1:$I$89,5,0)</f>
        <v>-1.223725121235475E-13</v>
      </c>
      <c r="CV171" s="14" t="e">
        <f t="shared" si="173"/>
        <v>#NUM!</v>
      </c>
      <c r="CW171" s="22" t="e">
        <f t="shared" si="174"/>
        <v>#NUM!</v>
      </c>
      <c r="CX171" s="60" t="e">
        <f t="shared" si="122"/>
        <v>#NUM!</v>
      </c>
      <c r="CY171" s="60">
        <f ca="1">AVERAGE(OFFSET($CX$3,0,0,'Données projet'!$E$13+1,1))-AVERAGE(OFFSET($H$3,0,0,'Données projet'!$E$13+1,1))</f>
        <v>621.10465023992288</v>
      </c>
      <c r="CZ171" s="60">
        <f t="shared" si="150"/>
        <v>322.81767004794284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>
        <f>EXP(-LN(2)/35)*DF170+(1-EXP(-LN(2)/35))/(LN(2)/35)*DB171*DC171*VLOOKUP('Données projet'!$B$13,Paramètres!$A$1:$I$89,3,0)*0.475*44/12</f>
        <v>0</v>
      </c>
      <c r="DG171" s="23">
        <f>EXP(-LN(2)/25)*DG170+(1-EXP(-LN(2)/25))/(LN(2)/25)*Calculateur!DB171*Calculateur!DD171*VLOOKUP('Données projet'!$B$13,Paramètres!$A$1:$I$89,3,0)*0.475*44/12</f>
        <v>0</v>
      </c>
      <c r="DH171" s="23">
        <f>EXP(-LN(2)/2)*DH170+(1-EXP(-LN(2)/2))/(LN(2)/2)*DB171*DE171*VLOOKUP('Données projet'!$B$13,Paramètres!$A$1:$I$89,3,0)*0.475*44/12</f>
        <v>0</v>
      </c>
      <c r="DI171" s="24">
        <f t="shared" si="175"/>
        <v>0</v>
      </c>
      <c r="DJ171" s="77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-1.1368683772161603E-13</v>
      </c>
      <c r="DP171" s="18">
        <f>DO171*VLOOKUP('Données projet'!$B$14,Paramètres!$A$1:$I$89,3,0)*VLOOKUP('Données projet'!$B$14,Paramètres!$A$1:$I$89,5,0)</f>
        <v>-1.0995790944434703E-13</v>
      </c>
      <c r="DQ171" s="14" t="e">
        <f t="shared" si="176"/>
        <v>#NUM!</v>
      </c>
      <c r="DR171" s="22" t="e">
        <f t="shared" si="177"/>
        <v>#NUM!</v>
      </c>
      <c r="DS171" s="60" t="e">
        <f t="shared" si="125"/>
        <v>#NUM!</v>
      </c>
      <c r="DT171" s="60">
        <f ca="1">AVERAGE(OFFSET($DS$3,0,0,'Données projet'!$E$14+1,1))-AVERAGE(OFFSET($H$3,0,0,'Données projet'!$E$14+1,1))</f>
        <v>562.69380557620775</v>
      </c>
      <c r="DU171" s="60">
        <f t="shared" si="152"/>
        <v>294.45557293177131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>
        <f>EXP(-LN(2)/35)*EA170+(1-EXP(-LN(2)/35))/(LN(2)/35)*DW171*DX171*VLOOKUP('Données projet'!$B$14,Paramètres!$A$1:$I$89,3,0)*0.475*44/12</f>
        <v>0</v>
      </c>
      <c r="EB171" s="23">
        <f>EXP(-LN(2)/25)*EB170+(1-EXP(-LN(2)/25))/(LN(2)/25)*Calculateur!DW171*Calculateur!DY171*VLOOKUP('Données projet'!$B$14,Paramètres!$A$1:$I$89,3,0)*0.475*44/12</f>
        <v>0</v>
      </c>
      <c r="EC171" s="23">
        <f>EXP(-LN(2)/2)*EC170+(1-EXP(-LN(2)/2))/(LN(2)/2)*DW171*DZ171*VLOOKUP('Données projet'!$B$14,Paramètres!$A$1:$I$89,3,0)*0.475*44/12</f>
        <v>0</v>
      </c>
      <c r="ED171" s="24">
        <f t="shared" si="178"/>
        <v>0</v>
      </c>
      <c r="EE171" s="77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1.1368683772161603E-13</v>
      </c>
      <c r="EK171" s="18">
        <f>EJ171*VLOOKUP('Données projet'!$B$15,Paramètres!$A$1:$I$89,3,0)*VLOOKUP('Données projet'!$B$15,Paramètres!$A$1:$I$89,5,0)</f>
        <v>8.8675733422860506E-14</v>
      </c>
      <c r="EL171" s="14">
        <f t="shared" si="179"/>
        <v>1.3509285393066301E-12</v>
      </c>
      <c r="EM171" s="22">
        <f t="shared" si="180"/>
        <v>2.5073107750038623E-12</v>
      </c>
      <c r="EN171" s="60">
        <f t="shared" si="128"/>
        <v>293.33333333333582</v>
      </c>
      <c r="EO171" s="60">
        <f ca="1">AVERAGE(OFFSET($EN$3,0,0,'Données projet'!$E$15+1,1))-AVERAGE(OFFSET($H$3,0,0,'Données projet'!$E$15+1,1))</f>
        <v>292.57482726862594</v>
      </c>
      <c r="EP171" s="60">
        <f t="shared" si="154"/>
        <v>283.48738729114024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>
        <f>EXP(-LN(2)/35)*EV170+(1-EXP(-LN(2)/35))/(LN(2)/35)*ER171*ES171*VLOOKUP('Données projet'!$B$15,Paramètres!$A$1:$I$89,3,0)*0.475*44/12</f>
        <v>0</v>
      </c>
      <c r="EW171" s="23">
        <f>EXP(-LN(2)/25)*EW170+(1-EXP(-LN(2)/25))/(LN(2)/25)*Calculateur!ER171*Calculateur!ET171*VLOOKUP('Données projet'!$B$15,Paramètres!$A$1:$I$89,3,0)*0.475*44/12</f>
        <v>0</v>
      </c>
      <c r="EX171" s="23">
        <f>EXP(-LN(2)/2)*EX170+(1-EXP(-LN(2)/2))/(LN(2)/2)*ER171*EU171*VLOOKUP('Données projet'!$B$15,Paramètres!$A$1:$I$89,3,0)*0.475*44/12</f>
        <v>0</v>
      </c>
      <c r="EY171" s="24">
        <f t="shared" si="181"/>
        <v>0</v>
      </c>
      <c r="EZ171" s="77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0" t="e">
        <f t="shared" si="131"/>
        <v>#N/A</v>
      </c>
      <c r="FJ171" s="60" t="e">
        <f ca="1">AVERAGE(OFFSET($FI$3,0,0,'Données projet'!$E$16+1,1))-AVERAGE(OFFSET($H$3,0,0,'Données projet'!$E$16+1,1))</f>
        <v>#N/A</v>
      </c>
      <c r="FK171" s="60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77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0" t="e">
        <f t="shared" si="134"/>
        <v>#N/A</v>
      </c>
      <c r="GE171" s="60" t="e">
        <f ca="1">AVERAGE(OFFSET($GD$3,0,0,'Données projet'!$E$17+1,1))-AVERAGE(OFFSET($H$3,0,0,'Données projet'!$E$17+1,1))</f>
        <v>#N/A</v>
      </c>
      <c r="GF171" s="60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77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0" t="e">
        <f t="shared" si="137"/>
        <v>#N/A</v>
      </c>
      <c r="GZ171" s="60" t="e">
        <f ca="1">AVERAGE(OFFSET($GY$3,0,0,'Données projet'!$E$18+1,1))-AVERAGE(OFFSET($H$3,0,0,'Données projet'!$E$18+1,1))</f>
        <v>#N/A</v>
      </c>
      <c r="HA171" s="60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25">
      <c r="A172" s="11">
        <f t="shared" si="161"/>
        <v>169</v>
      </c>
      <c r="B172" s="74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2">
        <f t="shared" si="140"/>
        <v>0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0</v>
      </c>
      <c r="H172" s="67">
        <f t="shared" si="110"/>
        <v>256.66666666666669</v>
      </c>
      <c r="I172" s="7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1.1368683772161603E-13</v>
      </c>
      <c r="O172" s="14">
        <f>N172*VLOOKUP('Données projet'!$B$9,Paramètres!$A$1:$I$89,3,0)*VLOOKUP('Données projet'!$B$9,Paramètres!$A$1:$I$89,5,0)</f>
        <v>1.0818439477588981E-13</v>
      </c>
      <c r="P172" s="14">
        <f t="shared" si="141"/>
        <v>1.6104228458716316E-12</v>
      </c>
      <c r="Q172" s="22">
        <f t="shared" si="162"/>
        <v>2.9932409441277661E-12</v>
      </c>
      <c r="R172" s="60">
        <f t="shared" si="109"/>
        <v>293.33333333333633</v>
      </c>
      <c r="S172" s="60">
        <f ca="1">AVERAGE(OFFSET($R$3,0,0,'Données projet'!$E$9+1,1))-AVERAGE(OFFSET($H$3,0,0,'Données projet'!$E$9+1,1))</f>
        <v>403.49781966317852</v>
      </c>
      <c r="T172" s="60">
        <f t="shared" si="142"/>
        <v>326.06674572505409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0</v>
      </c>
      <c r="AA172" s="23">
        <f>EXP(-LN(2)/25)*AA171+(1-EXP(-LN(2)/25))/(LN(2)/25)*Calculateur!V172*Calculateur!X172*VLOOKUP('Données projet'!$B$9,Paramètres!$A$1:$I$89,3,0)*0.475*44/12</f>
        <v>0</v>
      </c>
      <c r="AB172" s="23">
        <f>EXP(-LN(2)/2)*AB171+(1-EXP(-LN(2)/2))/(LN(2)/2)*V172*Y172*VLOOKUP('Données projet'!$B$9,Paramètres!$A$1:$I$89,3,0)*0.475*44/12</f>
        <v>0</v>
      </c>
      <c r="AC172" s="24">
        <f t="shared" si="163"/>
        <v>0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-1.1368683772161603E-13</v>
      </c>
      <c r="AJ172" s="14">
        <f>AI172*VLOOKUP('Données projet'!$B$10,Paramètres!$A$1:$I$89,3,0)*VLOOKUP('Données projet'!$B$10,Paramètres!$A$1:$I$89,5,0)</f>
        <v>-9.9316821433603781E-14</v>
      </c>
      <c r="AK172" s="14" t="e">
        <f t="shared" si="164"/>
        <v>#NUM!</v>
      </c>
      <c r="AL172" s="22" t="e">
        <f t="shared" si="165"/>
        <v>#NUM!</v>
      </c>
      <c r="AM172" s="60" t="e">
        <f t="shared" si="113"/>
        <v>#NUM!</v>
      </c>
      <c r="AN172" s="60">
        <f ca="1">AVERAGE(OFFSET($AM$3,0,0,'Données projet'!$E$10+1,1))-AVERAGE(OFFSET($H$3,0,0,'Données projet'!$E$10+1,1))</f>
        <v>274.66236526869056</v>
      </c>
      <c r="AO172" s="60">
        <f t="shared" si="144"/>
        <v>256.90876395053073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>
        <f>EXP(-LN(2)/35)*AU171+(1-EXP(-LN(2)/35))/(LN(2)/35)*AQ172*AR172*VLOOKUP('Données projet'!$B$10,Paramètres!$A$1:$I$89,3,0)*0.475*44/12</f>
        <v>0</v>
      </c>
      <c r="AV172" s="23">
        <f>EXP(-LN(2)/25)*AV171+(1-EXP(-LN(2)/25))/(LN(2)/25)*Calculateur!AQ172*Calculateur!AS172*VLOOKUP('Données projet'!$B$10,Paramètres!$A$1:$I$89,3,0)*0.475*44/12</f>
        <v>0</v>
      </c>
      <c r="AW172" s="23">
        <f>EXP(-LN(2)/2)*AW171+(1-EXP(-LN(2)/2))/(LN(2)/2)*AQ172*AT172*VLOOKUP('Données projet'!$B$10,Paramètres!$A$1:$I$89,3,0)*0.475*44/12</f>
        <v>0</v>
      </c>
      <c r="AX172" s="23">
        <f t="shared" si="166"/>
        <v>0</v>
      </c>
      <c r="AY172" s="76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-1.1368683772161603E-13</v>
      </c>
      <c r="BE172" s="14">
        <f>BD172*VLOOKUP('Données projet'!$B$11,Paramètres!$A$1:$I$89,3,0)*VLOOKUP('Données projet'!$B$11,Paramètres!$A$1:$I$89,5,0)</f>
        <v>-1.0286385077051818E-13</v>
      </c>
      <c r="BF172" s="14" t="e">
        <f t="shared" si="167"/>
        <v>#NUM!</v>
      </c>
      <c r="BG172" s="22" t="e">
        <f t="shared" si="168"/>
        <v>#NUM!</v>
      </c>
      <c r="BH172" s="60" t="e">
        <f t="shared" si="116"/>
        <v>#NUM!</v>
      </c>
      <c r="BI172" s="60">
        <f ca="1">AVERAGE(OFFSET($BH$3,0,0,'Données projet'!$E$11+1,1))-AVERAGE(OFFSET($H$3,0,0,'Données projet'!$E$11+1,1))</f>
        <v>529.25712986118265</v>
      </c>
      <c r="BJ172" s="60">
        <f t="shared" si="146"/>
        <v>278.21741231699929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>
        <f>EXP(-LN(2)/35)*BP171+(1-EXP(-LN(2)/35))/(LN(2)/35)*BL172*BM172*VLOOKUP('Données projet'!$B$11,Paramètres!$A$1:$I$89,3,0)*0.475*44/12</f>
        <v>0</v>
      </c>
      <c r="BQ172" s="23">
        <f>EXP(-LN(2)/25)*BQ171+(1-EXP(-LN(2)/25))/(LN(2)/25)*Calculateur!BL172*Calculateur!BN172*VLOOKUP('Données projet'!$B$11,Paramètres!$A$1:$I$89,3,0)*0.475*44/12</f>
        <v>0</v>
      </c>
      <c r="BR172" s="23">
        <f>EXP(-LN(2)/2)*BR171+(1-EXP(-LN(2)/2))/(LN(2)/2)*BL172*BO172*VLOOKUP('Données projet'!$B$11,Paramètres!$A$1:$I$89,3,0)*0.475*44/12</f>
        <v>0</v>
      </c>
      <c r="BS172" s="24">
        <f t="shared" si="169"/>
        <v>0</v>
      </c>
      <c r="BT172" s="77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-1.1368683772161603E-13</v>
      </c>
      <c r="BZ172" s="14">
        <f>BY172*VLOOKUP('Données projet'!$B$12,Paramètres!$A$1:$I$89,3,0)*VLOOKUP('Données projet'!$B$12,Paramètres!$A$1:$I$89,5,0)</f>
        <v>-1.1527845344971866E-13</v>
      </c>
      <c r="CA172" s="14" t="e">
        <f t="shared" si="170"/>
        <v>#NUM!</v>
      </c>
      <c r="CB172" s="22" t="e">
        <f t="shared" si="171"/>
        <v>#NUM!</v>
      </c>
      <c r="CC172" s="60" t="e">
        <f t="shared" si="119"/>
        <v>#NUM!</v>
      </c>
      <c r="CD172" s="60">
        <f ca="1">AVERAGE(OFFSET($CC$3,0,0,'Données projet'!$E$12+1,1))-AVERAGE(OFFSET($H$3,0,0,'Données projet'!$E$12+1,1))</f>
        <v>587.74247372331615</v>
      </c>
      <c r="CE172" s="60">
        <f t="shared" si="148"/>
        <v>306.61893266146666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>
        <f>EXP(-LN(2)/35)*CK171+(1-EXP(-LN(2)/35))/(LN(2)/35)*CG172*CH172*VLOOKUP('Données projet'!$B$12,Paramètres!$A$1:$I$89,3,0)*0.475*44/12</f>
        <v>0</v>
      </c>
      <c r="CL172" s="23">
        <f>EXP(-LN(2)/25)*CL171+(1-EXP(-LN(2)/25))/(LN(2)/25)*Calculateur!CG172*Calculateur!CI172*VLOOKUP('Données projet'!$B$12,Paramètres!$A$1:$I$89,3,0)*0.475*44/12</f>
        <v>0</v>
      </c>
      <c r="CM172" s="23">
        <f>EXP(-LN(2)/2)*CM171+(1-EXP(-LN(2)/2))/(LN(2)/2)*CG172*CJ172*VLOOKUP('Données projet'!$B$12,Paramètres!$A$1:$I$89,3,0)*0.475*44/12</f>
        <v>0</v>
      </c>
      <c r="CN172" s="24">
        <f t="shared" si="172"/>
        <v>0</v>
      </c>
      <c r="CO172" s="77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-1.1368683772161603E-13</v>
      </c>
      <c r="CU172" s="18">
        <f>CT172*VLOOKUP('Données projet'!$B$13,Paramètres!$A$1:$I$89,3,0)*VLOOKUP('Données projet'!$B$13,Paramètres!$A$1:$I$89,5,0)</f>
        <v>-1.223725121235475E-13</v>
      </c>
      <c r="CV172" s="14" t="e">
        <f t="shared" si="173"/>
        <v>#NUM!</v>
      </c>
      <c r="CW172" s="22" t="e">
        <f t="shared" si="174"/>
        <v>#NUM!</v>
      </c>
      <c r="CX172" s="60" t="e">
        <f t="shared" si="122"/>
        <v>#NUM!</v>
      </c>
      <c r="CY172" s="60">
        <f ca="1">AVERAGE(OFFSET($CX$3,0,0,'Données projet'!$E$13+1,1))-AVERAGE(OFFSET($H$3,0,0,'Données projet'!$E$13+1,1))</f>
        <v>621.10465023992288</v>
      </c>
      <c r="CZ172" s="60">
        <f t="shared" si="150"/>
        <v>322.81767004794284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>
        <f>EXP(-LN(2)/35)*DF171+(1-EXP(-LN(2)/35))/(LN(2)/35)*DB172*DC172*VLOOKUP('Données projet'!$B$13,Paramètres!$A$1:$I$89,3,0)*0.475*44/12</f>
        <v>0</v>
      </c>
      <c r="DG172" s="23">
        <f>EXP(-LN(2)/25)*DG171+(1-EXP(-LN(2)/25))/(LN(2)/25)*Calculateur!DB172*Calculateur!DD172*VLOOKUP('Données projet'!$B$13,Paramètres!$A$1:$I$89,3,0)*0.475*44/12</f>
        <v>0</v>
      </c>
      <c r="DH172" s="23">
        <f>EXP(-LN(2)/2)*DH171+(1-EXP(-LN(2)/2))/(LN(2)/2)*DB172*DE172*VLOOKUP('Données projet'!$B$13,Paramètres!$A$1:$I$89,3,0)*0.475*44/12</f>
        <v>0</v>
      </c>
      <c r="DI172" s="24">
        <f t="shared" si="175"/>
        <v>0</v>
      </c>
      <c r="DJ172" s="77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-1.1368683772161603E-13</v>
      </c>
      <c r="DP172" s="18">
        <f>DO172*VLOOKUP('Données projet'!$B$14,Paramètres!$A$1:$I$89,3,0)*VLOOKUP('Données projet'!$B$14,Paramètres!$A$1:$I$89,5,0)</f>
        <v>-1.0995790944434703E-13</v>
      </c>
      <c r="DQ172" s="14" t="e">
        <f t="shared" si="176"/>
        <v>#NUM!</v>
      </c>
      <c r="DR172" s="22" t="e">
        <f t="shared" si="177"/>
        <v>#NUM!</v>
      </c>
      <c r="DS172" s="60" t="e">
        <f t="shared" si="125"/>
        <v>#NUM!</v>
      </c>
      <c r="DT172" s="60">
        <f ca="1">AVERAGE(OFFSET($DS$3,0,0,'Données projet'!$E$14+1,1))-AVERAGE(OFFSET($H$3,0,0,'Données projet'!$E$14+1,1))</f>
        <v>562.69380557620775</v>
      </c>
      <c r="DU172" s="60">
        <f t="shared" si="152"/>
        <v>294.45557293177131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>
        <f>EXP(-LN(2)/35)*EA171+(1-EXP(-LN(2)/35))/(LN(2)/35)*DW172*DX172*VLOOKUP('Données projet'!$B$14,Paramètres!$A$1:$I$89,3,0)*0.475*44/12</f>
        <v>0</v>
      </c>
      <c r="EB172" s="23">
        <f>EXP(-LN(2)/25)*EB171+(1-EXP(-LN(2)/25))/(LN(2)/25)*Calculateur!DW172*Calculateur!DY172*VLOOKUP('Données projet'!$B$14,Paramètres!$A$1:$I$89,3,0)*0.475*44/12</f>
        <v>0</v>
      </c>
      <c r="EC172" s="23">
        <f>EXP(-LN(2)/2)*EC171+(1-EXP(-LN(2)/2))/(LN(2)/2)*DW172*DZ172*VLOOKUP('Données projet'!$B$14,Paramètres!$A$1:$I$89,3,0)*0.475*44/12</f>
        <v>0</v>
      </c>
      <c r="ED172" s="24">
        <f t="shared" si="178"/>
        <v>0</v>
      </c>
      <c r="EE172" s="77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1.1368683772161603E-13</v>
      </c>
      <c r="EK172" s="18">
        <f>EJ172*VLOOKUP('Données projet'!$B$15,Paramètres!$A$1:$I$89,3,0)*VLOOKUP('Données projet'!$B$15,Paramètres!$A$1:$I$89,5,0)</f>
        <v>8.8675733422860506E-14</v>
      </c>
      <c r="EL172" s="14">
        <f t="shared" si="179"/>
        <v>1.3509285393066301E-12</v>
      </c>
      <c r="EM172" s="22">
        <f t="shared" si="180"/>
        <v>2.5073107750038623E-12</v>
      </c>
      <c r="EN172" s="60">
        <f t="shared" si="128"/>
        <v>293.33333333333582</v>
      </c>
      <c r="EO172" s="60">
        <f ca="1">AVERAGE(OFFSET($EN$3,0,0,'Données projet'!$E$15+1,1))-AVERAGE(OFFSET($H$3,0,0,'Données projet'!$E$15+1,1))</f>
        <v>292.57482726862594</v>
      </c>
      <c r="EP172" s="60">
        <f t="shared" si="154"/>
        <v>283.48738729114024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>
        <f>EXP(-LN(2)/35)*EV171+(1-EXP(-LN(2)/35))/(LN(2)/35)*ER172*ES172*VLOOKUP('Données projet'!$B$15,Paramètres!$A$1:$I$89,3,0)*0.475*44/12</f>
        <v>0</v>
      </c>
      <c r="EW172" s="23">
        <f>EXP(-LN(2)/25)*EW171+(1-EXP(-LN(2)/25))/(LN(2)/25)*Calculateur!ER172*Calculateur!ET172*VLOOKUP('Données projet'!$B$15,Paramètres!$A$1:$I$89,3,0)*0.475*44/12</f>
        <v>0</v>
      </c>
      <c r="EX172" s="23">
        <f>EXP(-LN(2)/2)*EX171+(1-EXP(-LN(2)/2))/(LN(2)/2)*ER172*EU172*VLOOKUP('Données projet'!$B$15,Paramètres!$A$1:$I$89,3,0)*0.475*44/12</f>
        <v>0</v>
      </c>
      <c r="EY172" s="24">
        <f t="shared" si="181"/>
        <v>0</v>
      </c>
      <c r="EZ172" s="77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0" t="e">
        <f t="shared" si="131"/>
        <v>#N/A</v>
      </c>
      <c r="FJ172" s="60" t="e">
        <f ca="1">AVERAGE(OFFSET($FI$3,0,0,'Données projet'!$E$16+1,1))-AVERAGE(OFFSET($H$3,0,0,'Données projet'!$E$16+1,1))</f>
        <v>#N/A</v>
      </c>
      <c r="FK172" s="60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77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0" t="e">
        <f t="shared" si="134"/>
        <v>#N/A</v>
      </c>
      <c r="GE172" s="60" t="e">
        <f ca="1">AVERAGE(OFFSET($GD$3,0,0,'Données projet'!$E$17+1,1))-AVERAGE(OFFSET($H$3,0,0,'Données projet'!$E$17+1,1))</f>
        <v>#N/A</v>
      </c>
      <c r="GF172" s="60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77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0" t="e">
        <f t="shared" si="137"/>
        <v>#N/A</v>
      </c>
      <c r="GZ172" s="60" t="e">
        <f ca="1">AVERAGE(OFFSET($GY$3,0,0,'Données projet'!$E$18+1,1))-AVERAGE(OFFSET($H$3,0,0,'Données projet'!$E$18+1,1))</f>
        <v>#N/A</v>
      </c>
      <c r="HA172" s="60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25">
      <c r="A173" s="11">
        <f t="shared" si="161"/>
        <v>170</v>
      </c>
      <c r="B173" s="74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2">
        <f t="shared" si="140"/>
        <v>0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0</v>
      </c>
      <c r="H173" s="67">
        <f t="shared" si="110"/>
        <v>256.66666666666669</v>
      </c>
      <c r="I173" s="7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1.1368683772161603E-13</v>
      </c>
      <c r="O173" s="14">
        <f>N173*VLOOKUP('Données projet'!$B$9,Paramètres!$A$1:$I$89,3,0)*VLOOKUP('Données projet'!$B$9,Paramètres!$A$1:$I$89,5,0)</f>
        <v>1.0818439477588981E-13</v>
      </c>
      <c r="P173" s="14">
        <f t="shared" si="141"/>
        <v>1.6104228458716316E-12</v>
      </c>
      <c r="Q173" s="22">
        <f t="shared" si="162"/>
        <v>2.9932409441277661E-12</v>
      </c>
      <c r="R173" s="60">
        <f t="shared" si="109"/>
        <v>293.33333333333633</v>
      </c>
      <c r="S173" s="60">
        <f ca="1">AVERAGE(OFFSET($R$3,0,0,'Données projet'!$E$9+1,1))-AVERAGE(OFFSET($H$3,0,0,'Données projet'!$E$9+1,1))</f>
        <v>403.49781966317852</v>
      </c>
      <c r="T173" s="60">
        <f t="shared" si="142"/>
        <v>326.06674572505409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0</v>
      </c>
      <c r="AA173" s="23">
        <f>EXP(-LN(2)/25)*AA172+(1-EXP(-LN(2)/25))/(LN(2)/25)*Calculateur!V173*Calculateur!X173*VLOOKUP('Données projet'!$B$9,Paramètres!$A$1:$I$89,3,0)*0.475*44/12</f>
        <v>0</v>
      </c>
      <c r="AB173" s="23">
        <f>EXP(-LN(2)/2)*AB172+(1-EXP(-LN(2)/2))/(LN(2)/2)*V173*Y173*VLOOKUP('Données projet'!$B$9,Paramètres!$A$1:$I$89,3,0)*0.475*44/12</f>
        <v>0</v>
      </c>
      <c r="AC173" s="24">
        <f t="shared" si="163"/>
        <v>0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-1.1368683772161603E-13</v>
      </c>
      <c r="AJ173" s="14">
        <f>AI173*VLOOKUP('Données projet'!$B$10,Paramètres!$A$1:$I$89,3,0)*VLOOKUP('Données projet'!$B$10,Paramètres!$A$1:$I$89,5,0)</f>
        <v>-9.9316821433603781E-14</v>
      </c>
      <c r="AK173" s="14" t="e">
        <f t="shared" si="164"/>
        <v>#NUM!</v>
      </c>
      <c r="AL173" s="22" t="e">
        <f t="shared" si="165"/>
        <v>#NUM!</v>
      </c>
      <c r="AM173" s="60" t="e">
        <f t="shared" si="113"/>
        <v>#NUM!</v>
      </c>
      <c r="AN173" s="60">
        <f ca="1">AVERAGE(OFFSET($AM$3,0,0,'Données projet'!$E$10+1,1))-AVERAGE(OFFSET($H$3,0,0,'Données projet'!$E$10+1,1))</f>
        <v>274.66236526869056</v>
      </c>
      <c r="AO173" s="60">
        <f t="shared" si="144"/>
        <v>256.90876395053073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>
        <f>EXP(-LN(2)/35)*AU172+(1-EXP(-LN(2)/35))/(LN(2)/35)*AQ173*AR173*VLOOKUP('Données projet'!$B$10,Paramètres!$A$1:$I$89,3,0)*0.475*44/12</f>
        <v>0</v>
      </c>
      <c r="AV173" s="23">
        <f>EXP(-LN(2)/25)*AV172+(1-EXP(-LN(2)/25))/(LN(2)/25)*Calculateur!AQ173*Calculateur!AS173*VLOOKUP('Données projet'!$B$10,Paramètres!$A$1:$I$89,3,0)*0.475*44/12</f>
        <v>0</v>
      </c>
      <c r="AW173" s="23">
        <f>EXP(-LN(2)/2)*AW172+(1-EXP(-LN(2)/2))/(LN(2)/2)*AQ173*AT173*VLOOKUP('Données projet'!$B$10,Paramètres!$A$1:$I$89,3,0)*0.475*44/12</f>
        <v>0</v>
      </c>
      <c r="AX173" s="23">
        <f t="shared" si="166"/>
        <v>0</v>
      </c>
      <c r="AY173" s="76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-1.1368683772161603E-13</v>
      </c>
      <c r="BE173" s="14">
        <f>BD173*VLOOKUP('Données projet'!$B$11,Paramètres!$A$1:$I$89,3,0)*VLOOKUP('Données projet'!$B$11,Paramètres!$A$1:$I$89,5,0)</f>
        <v>-1.0286385077051818E-13</v>
      </c>
      <c r="BF173" s="14" t="e">
        <f t="shared" si="167"/>
        <v>#NUM!</v>
      </c>
      <c r="BG173" s="22" t="e">
        <f t="shared" si="168"/>
        <v>#NUM!</v>
      </c>
      <c r="BH173" s="60" t="e">
        <f t="shared" si="116"/>
        <v>#NUM!</v>
      </c>
      <c r="BI173" s="60">
        <f ca="1">AVERAGE(OFFSET($BH$3,0,0,'Données projet'!$E$11+1,1))-AVERAGE(OFFSET($H$3,0,0,'Données projet'!$E$11+1,1))</f>
        <v>529.25712986118265</v>
      </c>
      <c r="BJ173" s="60">
        <f t="shared" si="146"/>
        <v>278.21741231699929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>
        <f>EXP(-LN(2)/35)*BP172+(1-EXP(-LN(2)/35))/(LN(2)/35)*BL173*BM173*VLOOKUP('Données projet'!$B$11,Paramètres!$A$1:$I$89,3,0)*0.475*44/12</f>
        <v>0</v>
      </c>
      <c r="BQ173" s="23">
        <f>EXP(-LN(2)/25)*BQ172+(1-EXP(-LN(2)/25))/(LN(2)/25)*Calculateur!BL173*Calculateur!BN173*VLOOKUP('Données projet'!$B$11,Paramètres!$A$1:$I$89,3,0)*0.475*44/12</f>
        <v>0</v>
      </c>
      <c r="BR173" s="23">
        <f>EXP(-LN(2)/2)*BR172+(1-EXP(-LN(2)/2))/(LN(2)/2)*BL173*BO173*VLOOKUP('Données projet'!$B$11,Paramètres!$A$1:$I$89,3,0)*0.475*44/12</f>
        <v>0</v>
      </c>
      <c r="BS173" s="24">
        <f t="shared" si="169"/>
        <v>0</v>
      </c>
      <c r="BT173" s="77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-1.1368683772161603E-13</v>
      </c>
      <c r="BZ173" s="14">
        <f>BY173*VLOOKUP('Données projet'!$B$12,Paramètres!$A$1:$I$89,3,0)*VLOOKUP('Données projet'!$B$12,Paramètres!$A$1:$I$89,5,0)</f>
        <v>-1.1527845344971866E-13</v>
      </c>
      <c r="CA173" s="14" t="e">
        <f t="shared" si="170"/>
        <v>#NUM!</v>
      </c>
      <c r="CB173" s="22" t="e">
        <f t="shared" si="171"/>
        <v>#NUM!</v>
      </c>
      <c r="CC173" s="60" t="e">
        <f t="shared" si="119"/>
        <v>#NUM!</v>
      </c>
      <c r="CD173" s="60">
        <f ca="1">AVERAGE(OFFSET($CC$3,0,0,'Données projet'!$E$12+1,1))-AVERAGE(OFFSET($H$3,0,0,'Données projet'!$E$12+1,1))</f>
        <v>587.74247372331615</v>
      </c>
      <c r="CE173" s="60">
        <f t="shared" si="148"/>
        <v>306.61893266146666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>
        <f>EXP(-LN(2)/35)*CK172+(1-EXP(-LN(2)/35))/(LN(2)/35)*CG173*CH173*VLOOKUP('Données projet'!$B$12,Paramètres!$A$1:$I$89,3,0)*0.475*44/12</f>
        <v>0</v>
      </c>
      <c r="CL173" s="23">
        <f>EXP(-LN(2)/25)*CL172+(1-EXP(-LN(2)/25))/(LN(2)/25)*Calculateur!CG173*Calculateur!CI173*VLOOKUP('Données projet'!$B$12,Paramètres!$A$1:$I$89,3,0)*0.475*44/12</f>
        <v>0</v>
      </c>
      <c r="CM173" s="23">
        <f>EXP(-LN(2)/2)*CM172+(1-EXP(-LN(2)/2))/(LN(2)/2)*CG173*CJ173*VLOOKUP('Données projet'!$B$12,Paramètres!$A$1:$I$89,3,0)*0.475*44/12</f>
        <v>0</v>
      </c>
      <c r="CN173" s="24">
        <f t="shared" si="172"/>
        <v>0</v>
      </c>
      <c r="CO173" s="77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-1.1368683772161603E-13</v>
      </c>
      <c r="CU173" s="18">
        <f>CT173*VLOOKUP('Données projet'!$B$13,Paramètres!$A$1:$I$89,3,0)*VLOOKUP('Données projet'!$B$13,Paramètres!$A$1:$I$89,5,0)</f>
        <v>-1.223725121235475E-13</v>
      </c>
      <c r="CV173" s="14" t="e">
        <f t="shared" si="173"/>
        <v>#NUM!</v>
      </c>
      <c r="CW173" s="22" t="e">
        <f t="shared" si="174"/>
        <v>#NUM!</v>
      </c>
      <c r="CX173" s="60" t="e">
        <f t="shared" si="122"/>
        <v>#NUM!</v>
      </c>
      <c r="CY173" s="60">
        <f ca="1">AVERAGE(OFFSET($CX$3,0,0,'Données projet'!$E$13+1,1))-AVERAGE(OFFSET($H$3,0,0,'Données projet'!$E$13+1,1))</f>
        <v>621.10465023992288</v>
      </c>
      <c r="CZ173" s="60">
        <f t="shared" si="150"/>
        <v>322.81767004794284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>
        <f>EXP(-LN(2)/35)*DF172+(1-EXP(-LN(2)/35))/(LN(2)/35)*DB173*DC173*VLOOKUP('Données projet'!$B$13,Paramètres!$A$1:$I$89,3,0)*0.475*44/12</f>
        <v>0</v>
      </c>
      <c r="DG173" s="23">
        <f>EXP(-LN(2)/25)*DG172+(1-EXP(-LN(2)/25))/(LN(2)/25)*Calculateur!DB173*Calculateur!DD173*VLOOKUP('Données projet'!$B$13,Paramètres!$A$1:$I$89,3,0)*0.475*44/12</f>
        <v>0</v>
      </c>
      <c r="DH173" s="23">
        <f>EXP(-LN(2)/2)*DH172+(1-EXP(-LN(2)/2))/(LN(2)/2)*DB173*DE173*VLOOKUP('Données projet'!$B$13,Paramètres!$A$1:$I$89,3,0)*0.475*44/12</f>
        <v>0</v>
      </c>
      <c r="DI173" s="24">
        <f t="shared" si="175"/>
        <v>0</v>
      </c>
      <c r="DJ173" s="77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-1.1368683772161603E-13</v>
      </c>
      <c r="DP173" s="18">
        <f>DO173*VLOOKUP('Données projet'!$B$14,Paramètres!$A$1:$I$89,3,0)*VLOOKUP('Données projet'!$B$14,Paramètres!$A$1:$I$89,5,0)</f>
        <v>-1.0995790944434703E-13</v>
      </c>
      <c r="DQ173" s="14" t="e">
        <f t="shared" si="176"/>
        <v>#NUM!</v>
      </c>
      <c r="DR173" s="22" t="e">
        <f t="shared" si="177"/>
        <v>#NUM!</v>
      </c>
      <c r="DS173" s="60" t="e">
        <f t="shared" si="125"/>
        <v>#NUM!</v>
      </c>
      <c r="DT173" s="60">
        <f ca="1">AVERAGE(OFFSET($DS$3,0,0,'Données projet'!$E$14+1,1))-AVERAGE(OFFSET($H$3,0,0,'Données projet'!$E$14+1,1))</f>
        <v>562.69380557620775</v>
      </c>
      <c r="DU173" s="60">
        <f t="shared" si="152"/>
        <v>294.45557293177131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>
        <f>EXP(-LN(2)/35)*EA172+(1-EXP(-LN(2)/35))/(LN(2)/35)*DW173*DX173*VLOOKUP('Données projet'!$B$14,Paramètres!$A$1:$I$89,3,0)*0.475*44/12</f>
        <v>0</v>
      </c>
      <c r="EB173" s="23">
        <f>EXP(-LN(2)/25)*EB172+(1-EXP(-LN(2)/25))/(LN(2)/25)*Calculateur!DW173*Calculateur!DY173*VLOOKUP('Données projet'!$B$14,Paramètres!$A$1:$I$89,3,0)*0.475*44/12</f>
        <v>0</v>
      </c>
      <c r="EC173" s="23">
        <f>EXP(-LN(2)/2)*EC172+(1-EXP(-LN(2)/2))/(LN(2)/2)*DW173*DZ173*VLOOKUP('Données projet'!$B$14,Paramètres!$A$1:$I$89,3,0)*0.475*44/12</f>
        <v>0</v>
      </c>
      <c r="ED173" s="24">
        <f t="shared" si="178"/>
        <v>0</v>
      </c>
      <c r="EE173" s="77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1.1368683772161603E-13</v>
      </c>
      <c r="EK173" s="18">
        <f>EJ173*VLOOKUP('Données projet'!$B$15,Paramètres!$A$1:$I$89,3,0)*VLOOKUP('Données projet'!$B$15,Paramètres!$A$1:$I$89,5,0)</f>
        <v>8.8675733422860506E-14</v>
      </c>
      <c r="EL173" s="14">
        <f t="shared" si="179"/>
        <v>1.3509285393066301E-12</v>
      </c>
      <c r="EM173" s="22">
        <f t="shared" si="180"/>
        <v>2.5073107750038623E-12</v>
      </c>
      <c r="EN173" s="60">
        <f t="shared" si="128"/>
        <v>293.33333333333582</v>
      </c>
      <c r="EO173" s="60">
        <f ca="1">AVERAGE(OFFSET($EN$3,0,0,'Données projet'!$E$15+1,1))-AVERAGE(OFFSET($H$3,0,0,'Données projet'!$E$15+1,1))</f>
        <v>292.57482726862594</v>
      </c>
      <c r="EP173" s="60">
        <f t="shared" si="154"/>
        <v>283.48738729114024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>
        <f>EXP(-LN(2)/35)*EV172+(1-EXP(-LN(2)/35))/(LN(2)/35)*ER173*ES173*VLOOKUP('Données projet'!$B$15,Paramètres!$A$1:$I$89,3,0)*0.475*44/12</f>
        <v>0</v>
      </c>
      <c r="EW173" s="23">
        <f>EXP(-LN(2)/25)*EW172+(1-EXP(-LN(2)/25))/(LN(2)/25)*Calculateur!ER173*Calculateur!ET173*VLOOKUP('Données projet'!$B$15,Paramètres!$A$1:$I$89,3,0)*0.475*44/12</f>
        <v>0</v>
      </c>
      <c r="EX173" s="23">
        <f>EXP(-LN(2)/2)*EX172+(1-EXP(-LN(2)/2))/(LN(2)/2)*ER173*EU173*VLOOKUP('Données projet'!$B$15,Paramètres!$A$1:$I$89,3,0)*0.475*44/12</f>
        <v>0</v>
      </c>
      <c r="EY173" s="24">
        <f t="shared" si="181"/>
        <v>0</v>
      </c>
      <c r="EZ173" s="77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0" t="e">
        <f t="shared" si="131"/>
        <v>#N/A</v>
      </c>
      <c r="FJ173" s="60" t="e">
        <f ca="1">AVERAGE(OFFSET($FI$3,0,0,'Données projet'!$E$16+1,1))-AVERAGE(OFFSET($H$3,0,0,'Données projet'!$E$16+1,1))</f>
        <v>#N/A</v>
      </c>
      <c r="FK173" s="60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77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0" t="e">
        <f t="shared" si="134"/>
        <v>#N/A</v>
      </c>
      <c r="GE173" s="60" t="e">
        <f ca="1">AVERAGE(OFFSET($GD$3,0,0,'Données projet'!$E$17+1,1))-AVERAGE(OFFSET($H$3,0,0,'Données projet'!$E$17+1,1))</f>
        <v>#N/A</v>
      </c>
      <c r="GF173" s="60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77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0" t="e">
        <f t="shared" si="137"/>
        <v>#N/A</v>
      </c>
      <c r="GZ173" s="60" t="e">
        <f ca="1">AVERAGE(OFFSET($GY$3,0,0,'Données projet'!$E$18+1,1))-AVERAGE(OFFSET($H$3,0,0,'Données projet'!$E$18+1,1))</f>
        <v>#N/A</v>
      </c>
      <c r="HA173" s="60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25">
      <c r="A174" s="11">
        <f t="shared" si="161"/>
        <v>171</v>
      </c>
      <c r="B174" s="74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2">
        <f t="shared" si="140"/>
        <v>0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0</v>
      </c>
      <c r="H174" s="67">
        <f t="shared" si="110"/>
        <v>256.66666666666669</v>
      </c>
      <c r="I174" s="7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1.1368683772161603E-13</v>
      </c>
      <c r="O174" s="14">
        <f>N174*VLOOKUP('Données projet'!$B$9,Paramètres!$A$1:$I$89,3,0)*VLOOKUP('Données projet'!$B$9,Paramètres!$A$1:$I$89,5,0)</f>
        <v>1.0818439477588981E-13</v>
      </c>
      <c r="P174" s="14">
        <f t="shared" si="141"/>
        <v>1.6104228458716316E-12</v>
      </c>
      <c r="Q174" s="22">
        <f t="shared" si="162"/>
        <v>2.9932409441277661E-12</v>
      </c>
      <c r="R174" s="60">
        <f t="shared" si="109"/>
        <v>293.33333333333633</v>
      </c>
      <c r="S174" s="60">
        <f ca="1">AVERAGE(OFFSET($R$3,0,0,'Données projet'!$E$9+1,1))-AVERAGE(OFFSET($H$3,0,0,'Données projet'!$E$9+1,1))</f>
        <v>403.49781966317852</v>
      </c>
      <c r="T174" s="60">
        <f t="shared" si="142"/>
        <v>326.06674572505409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0</v>
      </c>
      <c r="AA174" s="23">
        <f>EXP(-LN(2)/25)*AA173+(1-EXP(-LN(2)/25))/(LN(2)/25)*Calculateur!V174*Calculateur!X174*VLOOKUP('Données projet'!$B$9,Paramètres!$A$1:$I$89,3,0)*0.475*44/12</f>
        <v>0</v>
      </c>
      <c r="AB174" s="23">
        <f>EXP(-LN(2)/2)*AB173+(1-EXP(-LN(2)/2))/(LN(2)/2)*V174*Y174*VLOOKUP('Données projet'!$B$9,Paramètres!$A$1:$I$89,3,0)*0.475*44/12</f>
        <v>0</v>
      </c>
      <c r="AC174" s="24">
        <f t="shared" si="163"/>
        <v>0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-1.1368683772161603E-13</v>
      </c>
      <c r="AJ174" s="14">
        <f>AI174*VLOOKUP('Données projet'!$B$10,Paramètres!$A$1:$I$89,3,0)*VLOOKUP('Données projet'!$B$10,Paramètres!$A$1:$I$89,5,0)</f>
        <v>-9.9316821433603781E-14</v>
      </c>
      <c r="AK174" s="14" t="e">
        <f t="shared" si="164"/>
        <v>#NUM!</v>
      </c>
      <c r="AL174" s="22" t="e">
        <f t="shared" si="165"/>
        <v>#NUM!</v>
      </c>
      <c r="AM174" s="60" t="e">
        <f t="shared" si="113"/>
        <v>#NUM!</v>
      </c>
      <c r="AN174" s="60">
        <f ca="1">AVERAGE(OFFSET($AM$3,0,0,'Données projet'!$E$10+1,1))-AVERAGE(OFFSET($H$3,0,0,'Données projet'!$E$10+1,1))</f>
        <v>274.66236526869056</v>
      </c>
      <c r="AO174" s="60">
        <f t="shared" si="144"/>
        <v>256.90876395053073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>
        <f>EXP(-LN(2)/35)*AU173+(1-EXP(-LN(2)/35))/(LN(2)/35)*AQ174*AR174*VLOOKUP('Données projet'!$B$10,Paramètres!$A$1:$I$89,3,0)*0.475*44/12</f>
        <v>0</v>
      </c>
      <c r="AV174" s="23">
        <f>EXP(-LN(2)/25)*AV173+(1-EXP(-LN(2)/25))/(LN(2)/25)*Calculateur!AQ174*Calculateur!AS174*VLOOKUP('Données projet'!$B$10,Paramètres!$A$1:$I$89,3,0)*0.475*44/12</f>
        <v>0</v>
      </c>
      <c r="AW174" s="23">
        <f>EXP(-LN(2)/2)*AW173+(1-EXP(-LN(2)/2))/(LN(2)/2)*AQ174*AT174*VLOOKUP('Données projet'!$B$10,Paramètres!$A$1:$I$89,3,0)*0.475*44/12</f>
        <v>0</v>
      </c>
      <c r="AX174" s="23">
        <f t="shared" si="166"/>
        <v>0</v>
      </c>
      <c r="AY174" s="76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-1.1368683772161603E-13</v>
      </c>
      <c r="BE174" s="14">
        <f>BD174*VLOOKUP('Données projet'!$B$11,Paramètres!$A$1:$I$89,3,0)*VLOOKUP('Données projet'!$B$11,Paramètres!$A$1:$I$89,5,0)</f>
        <v>-1.0286385077051818E-13</v>
      </c>
      <c r="BF174" s="14" t="e">
        <f t="shared" si="167"/>
        <v>#NUM!</v>
      </c>
      <c r="BG174" s="22" t="e">
        <f t="shared" si="168"/>
        <v>#NUM!</v>
      </c>
      <c r="BH174" s="60" t="e">
        <f t="shared" si="116"/>
        <v>#NUM!</v>
      </c>
      <c r="BI174" s="60">
        <f ca="1">AVERAGE(OFFSET($BH$3,0,0,'Données projet'!$E$11+1,1))-AVERAGE(OFFSET($H$3,0,0,'Données projet'!$E$11+1,1))</f>
        <v>529.25712986118265</v>
      </c>
      <c r="BJ174" s="60">
        <f t="shared" si="146"/>
        <v>278.21741231699929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>
        <f>EXP(-LN(2)/35)*BP173+(1-EXP(-LN(2)/35))/(LN(2)/35)*BL174*BM174*VLOOKUP('Données projet'!$B$11,Paramètres!$A$1:$I$89,3,0)*0.475*44/12</f>
        <v>0</v>
      </c>
      <c r="BQ174" s="23">
        <f>EXP(-LN(2)/25)*BQ173+(1-EXP(-LN(2)/25))/(LN(2)/25)*Calculateur!BL174*Calculateur!BN174*VLOOKUP('Données projet'!$B$11,Paramètres!$A$1:$I$89,3,0)*0.475*44/12</f>
        <v>0</v>
      </c>
      <c r="BR174" s="23">
        <f>EXP(-LN(2)/2)*BR173+(1-EXP(-LN(2)/2))/(LN(2)/2)*BL174*BO174*VLOOKUP('Données projet'!$B$11,Paramètres!$A$1:$I$89,3,0)*0.475*44/12</f>
        <v>0</v>
      </c>
      <c r="BS174" s="24">
        <f t="shared" si="169"/>
        <v>0</v>
      </c>
      <c r="BT174" s="77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-1.1368683772161603E-13</v>
      </c>
      <c r="BZ174" s="14">
        <f>BY174*VLOOKUP('Données projet'!$B$12,Paramètres!$A$1:$I$89,3,0)*VLOOKUP('Données projet'!$B$12,Paramètres!$A$1:$I$89,5,0)</f>
        <v>-1.1527845344971866E-13</v>
      </c>
      <c r="CA174" s="14" t="e">
        <f t="shared" si="170"/>
        <v>#NUM!</v>
      </c>
      <c r="CB174" s="22" t="e">
        <f t="shared" si="171"/>
        <v>#NUM!</v>
      </c>
      <c r="CC174" s="60" t="e">
        <f t="shared" si="119"/>
        <v>#NUM!</v>
      </c>
      <c r="CD174" s="60">
        <f ca="1">AVERAGE(OFFSET($CC$3,0,0,'Données projet'!$E$12+1,1))-AVERAGE(OFFSET($H$3,0,0,'Données projet'!$E$12+1,1))</f>
        <v>587.74247372331615</v>
      </c>
      <c r="CE174" s="60">
        <f t="shared" si="148"/>
        <v>306.61893266146666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>
        <f>EXP(-LN(2)/35)*CK173+(1-EXP(-LN(2)/35))/(LN(2)/35)*CG174*CH174*VLOOKUP('Données projet'!$B$12,Paramètres!$A$1:$I$89,3,0)*0.475*44/12</f>
        <v>0</v>
      </c>
      <c r="CL174" s="23">
        <f>EXP(-LN(2)/25)*CL173+(1-EXP(-LN(2)/25))/(LN(2)/25)*Calculateur!CG174*Calculateur!CI174*VLOOKUP('Données projet'!$B$12,Paramètres!$A$1:$I$89,3,0)*0.475*44/12</f>
        <v>0</v>
      </c>
      <c r="CM174" s="23">
        <f>EXP(-LN(2)/2)*CM173+(1-EXP(-LN(2)/2))/(LN(2)/2)*CG174*CJ174*VLOOKUP('Données projet'!$B$12,Paramètres!$A$1:$I$89,3,0)*0.475*44/12</f>
        <v>0</v>
      </c>
      <c r="CN174" s="24">
        <f t="shared" si="172"/>
        <v>0</v>
      </c>
      <c r="CO174" s="77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-1.1368683772161603E-13</v>
      </c>
      <c r="CU174" s="18">
        <f>CT174*VLOOKUP('Données projet'!$B$13,Paramètres!$A$1:$I$89,3,0)*VLOOKUP('Données projet'!$B$13,Paramètres!$A$1:$I$89,5,0)</f>
        <v>-1.223725121235475E-13</v>
      </c>
      <c r="CV174" s="14" t="e">
        <f t="shared" si="173"/>
        <v>#NUM!</v>
      </c>
      <c r="CW174" s="22" t="e">
        <f t="shared" si="174"/>
        <v>#NUM!</v>
      </c>
      <c r="CX174" s="60" t="e">
        <f t="shared" si="122"/>
        <v>#NUM!</v>
      </c>
      <c r="CY174" s="60">
        <f ca="1">AVERAGE(OFFSET($CX$3,0,0,'Données projet'!$E$13+1,1))-AVERAGE(OFFSET($H$3,0,0,'Données projet'!$E$13+1,1))</f>
        <v>621.10465023992288</v>
      </c>
      <c r="CZ174" s="60">
        <f t="shared" si="150"/>
        <v>322.81767004794284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>
        <f>EXP(-LN(2)/35)*DF173+(1-EXP(-LN(2)/35))/(LN(2)/35)*DB174*DC174*VLOOKUP('Données projet'!$B$13,Paramètres!$A$1:$I$89,3,0)*0.475*44/12</f>
        <v>0</v>
      </c>
      <c r="DG174" s="23">
        <f>EXP(-LN(2)/25)*DG173+(1-EXP(-LN(2)/25))/(LN(2)/25)*Calculateur!DB174*Calculateur!DD174*VLOOKUP('Données projet'!$B$13,Paramètres!$A$1:$I$89,3,0)*0.475*44/12</f>
        <v>0</v>
      </c>
      <c r="DH174" s="23">
        <f>EXP(-LN(2)/2)*DH173+(1-EXP(-LN(2)/2))/(LN(2)/2)*DB174*DE174*VLOOKUP('Données projet'!$B$13,Paramètres!$A$1:$I$89,3,0)*0.475*44/12</f>
        <v>0</v>
      </c>
      <c r="DI174" s="24">
        <f t="shared" si="175"/>
        <v>0</v>
      </c>
      <c r="DJ174" s="77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-1.1368683772161603E-13</v>
      </c>
      <c r="DP174" s="18">
        <f>DO174*VLOOKUP('Données projet'!$B$14,Paramètres!$A$1:$I$89,3,0)*VLOOKUP('Données projet'!$B$14,Paramètres!$A$1:$I$89,5,0)</f>
        <v>-1.0995790944434703E-13</v>
      </c>
      <c r="DQ174" s="14" t="e">
        <f t="shared" si="176"/>
        <v>#NUM!</v>
      </c>
      <c r="DR174" s="22" t="e">
        <f t="shared" si="177"/>
        <v>#NUM!</v>
      </c>
      <c r="DS174" s="60" t="e">
        <f t="shared" si="125"/>
        <v>#NUM!</v>
      </c>
      <c r="DT174" s="60">
        <f ca="1">AVERAGE(OFFSET($DS$3,0,0,'Données projet'!$E$14+1,1))-AVERAGE(OFFSET($H$3,0,0,'Données projet'!$E$14+1,1))</f>
        <v>562.69380557620775</v>
      </c>
      <c r="DU174" s="60">
        <f t="shared" si="152"/>
        <v>294.45557293177131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>
        <f>EXP(-LN(2)/35)*EA173+(1-EXP(-LN(2)/35))/(LN(2)/35)*DW174*DX174*VLOOKUP('Données projet'!$B$14,Paramètres!$A$1:$I$89,3,0)*0.475*44/12</f>
        <v>0</v>
      </c>
      <c r="EB174" s="23">
        <f>EXP(-LN(2)/25)*EB173+(1-EXP(-LN(2)/25))/(LN(2)/25)*Calculateur!DW174*Calculateur!DY174*VLOOKUP('Données projet'!$B$14,Paramètres!$A$1:$I$89,3,0)*0.475*44/12</f>
        <v>0</v>
      </c>
      <c r="EC174" s="23">
        <f>EXP(-LN(2)/2)*EC173+(1-EXP(-LN(2)/2))/(LN(2)/2)*DW174*DZ174*VLOOKUP('Données projet'!$B$14,Paramètres!$A$1:$I$89,3,0)*0.475*44/12</f>
        <v>0</v>
      </c>
      <c r="ED174" s="24">
        <f t="shared" si="178"/>
        <v>0</v>
      </c>
      <c r="EE174" s="77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1.1368683772161603E-13</v>
      </c>
      <c r="EK174" s="18">
        <f>EJ174*VLOOKUP('Données projet'!$B$15,Paramètres!$A$1:$I$89,3,0)*VLOOKUP('Données projet'!$B$15,Paramètres!$A$1:$I$89,5,0)</f>
        <v>8.8675733422860506E-14</v>
      </c>
      <c r="EL174" s="14">
        <f t="shared" si="179"/>
        <v>1.3509285393066301E-12</v>
      </c>
      <c r="EM174" s="22">
        <f t="shared" si="180"/>
        <v>2.5073107750038623E-12</v>
      </c>
      <c r="EN174" s="60">
        <f t="shared" si="128"/>
        <v>293.33333333333582</v>
      </c>
      <c r="EO174" s="60">
        <f ca="1">AVERAGE(OFFSET($EN$3,0,0,'Données projet'!$E$15+1,1))-AVERAGE(OFFSET($H$3,0,0,'Données projet'!$E$15+1,1))</f>
        <v>292.57482726862594</v>
      </c>
      <c r="EP174" s="60">
        <f t="shared" si="154"/>
        <v>283.48738729114024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>
        <f>EXP(-LN(2)/35)*EV173+(1-EXP(-LN(2)/35))/(LN(2)/35)*ER174*ES174*VLOOKUP('Données projet'!$B$15,Paramètres!$A$1:$I$89,3,0)*0.475*44/12</f>
        <v>0</v>
      </c>
      <c r="EW174" s="23">
        <f>EXP(-LN(2)/25)*EW173+(1-EXP(-LN(2)/25))/(LN(2)/25)*Calculateur!ER174*Calculateur!ET174*VLOOKUP('Données projet'!$B$15,Paramètres!$A$1:$I$89,3,0)*0.475*44/12</f>
        <v>0</v>
      </c>
      <c r="EX174" s="23">
        <f>EXP(-LN(2)/2)*EX173+(1-EXP(-LN(2)/2))/(LN(2)/2)*ER174*EU174*VLOOKUP('Données projet'!$B$15,Paramètres!$A$1:$I$89,3,0)*0.475*44/12</f>
        <v>0</v>
      </c>
      <c r="EY174" s="24">
        <f t="shared" si="181"/>
        <v>0</v>
      </c>
      <c r="EZ174" s="77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0" t="e">
        <f t="shared" si="131"/>
        <v>#N/A</v>
      </c>
      <c r="FJ174" s="60" t="e">
        <f ca="1">AVERAGE(OFFSET($FI$3,0,0,'Données projet'!$E$16+1,1))-AVERAGE(OFFSET($H$3,0,0,'Données projet'!$E$16+1,1))</f>
        <v>#N/A</v>
      </c>
      <c r="FK174" s="60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77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0" t="e">
        <f t="shared" si="134"/>
        <v>#N/A</v>
      </c>
      <c r="GE174" s="60" t="e">
        <f ca="1">AVERAGE(OFFSET($GD$3,0,0,'Données projet'!$E$17+1,1))-AVERAGE(OFFSET($H$3,0,0,'Données projet'!$E$17+1,1))</f>
        <v>#N/A</v>
      </c>
      <c r="GF174" s="60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77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0" t="e">
        <f t="shared" si="137"/>
        <v>#N/A</v>
      </c>
      <c r="GZ174" s="60" t="e">
        <f ca="1">AVERAGE(OFFSET($GY$3,0,0,'Données projet'!$E$18+1,1))-AVERAGE(OFFSET($H$3,0,0,'Données projet'!$E$18+1,1))</f>
        <v>#N/A</v>
      </c>
      <c r="HA174" s="60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25">
      <c r="A175" s="11">
        <f t="shared" si="161"/>
        <v>172</v>
      </c>
      <c r="B175" s="74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2">
        <f t="shared" si="140"/>
        <v>0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0</v>
      </c>
      <c r="H175" s="67">
        <f t="shared" si="110"/>
        <v>256.66666666666669</v>
      </c>
      <c r="I175" s="7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1.1368683772161603E-13</v>
      </c>
      <c r="O175" s="14">
        <f>N175*VLOOKUP('Données projet'!$B$9,Paramètres!$A$1:$I$89,3,0)*VLOOKUP('Données projet'!$B$9,Paramètres!$A$1:$I$89,5,0)</f>
        <v>1.0818439477588981E-13</v>
      </c>
      <c r="P175" s="14">
        <f t="shared" si="141"/>
        <v>1.6104228458716316E-12</v>
      </c>
      <c r="Q175" s="22">
        <f t="shared" si="162"/>
        <v>2.9932409441277661E-12</v>
      </c>
      <c r="R175" s="60">
        <f t="shared" si="109"/>
        <v>293.33333333333633</v>
      </c>
      <c r="S175" s="60">
        <f ca="1">AVERAGE(OFFSET($R$3,0,0,'Données projet'!$E$9+1,1))-AVERAGE(OFFSET($H$3,0,0,'Données projet'!$E$9+1,1))</f>
        <v>403.49781966317852</v>
      </c>
      <c r="T175" s="60">
        <f t="shared" si="142"/>
        <v>326.06674572505409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0</v>
      </c>
      <c r="AA175" s="23">
        <f>EXP(-LN(2)/25)*AA174+(1-EXP(-LN(2)/25))/(LN(2)/25)*Calculateur!V175*Calculateur!X175*VLOOKUP('Données projet'!$B$9,Paramètres!$A$1:$I$89,3,0)*0.475*44/12</f>
        <v>0</v>
      </c>
      <c r="AB175" s="23">
        <f>EXP(-LN(2)/2)*AB174+(1-EXP(-LN(2)/2))/(LN(2)/2)*V175*Y175*VLOOKUP('Données projet'!$B$9,Paramètres!$A$1:$I$89,3,0)*0.475*44/12</f>
        <v>0</v>
      </c>
      <c r="AC175" s="24">
        <f t="shared" si="163"/>
        <v>0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-1.1368683772161603E-13</v>
      </c>
      <c r="AJ175" s="14">
        <f>AI175*VLOOKUP('Données projet'!$B$10,Paramètres!$A$1:$I$89,3,0)*VLOOKUP('Données projet'!$B$10,Paramètres!$A$1:$I$89,5,0)</f>
        <v>-9.9316821433603781E-14</v>
      </c>
      <c r="AK175" s="14" t="e">
        <f t="shared" si="164"/>
        <v>#NUM!</v>
      </c>
      <c r="AL175" s="22" t="e">
        <f t="shared" si="165"/>
        <v>#NUM!</v>
      </c>
      <c r="AM175" s="60" t="e">
        <f t="shared" si="113"/>
        <v>#NUM!</v>
      </c>
      <c r="AN175" s="60">
        <f ca="1">AVERAGE(OFFSET($AM$3,0,0,'Données projet'!$E$10+1,1))-AVERAGE(OFFSET($H$3,0,0,'Données projet'!$E$10+1,1))</f>
        <v>274.66236526869056</v>
      </c>
      <c r="AO175" s="60">
        <f t="shared" si="144"/>
        <v>256.90876395053073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>
        <f>EXP(-LN(2)/35)*AU174+(1-EXP(-LN(2)/35))/(LN(2)/35)*AQ175*AR175*VLOOKUP('Données projet'!$B$10,Paramètres!$A$1:$I$89,3,0)*0.475*44/12</f>
        <v>0</v>
      </c>
      <c r="AV175" s="23">
        <f>EXP(-LN(2)/25)*AV174+(1-EXP(-LN(2)/25))/(LN(2)/25)*Calculateur!AQ175*Calculateur!AS175*VLOOKUP('Données projet'!$B$10,Paramètres!$A$1:$I$89,3,0)*0.475*44/12</f>
        <v>0</v>
      </c>
      <c r="AW175" s="23">
        <f>EXP(-LN(2)/2)*AW174+(1-EXP(-LN(2)/2))/(LN(2)/2)*AQ175*AT175*VLOOKUP('Données projet'!$B$10,Paramètres!$A$1:$I$89,3,0)*0.475*44/12</f>
        <v>0</v>
      </c>
      <c r="AX175" s="23">
        <f t="shared" si="166"/>
        <v>0</v>
      </c>
      <c r="AY175" s="76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-1.1368683772161603E-13</v>
      </c>
      <c r="BE175" s="14">
        <f>BD175*VLOOKUP('Données projet'!$B$11,Paramètres!$A$1:$I$89,3,0)*VLOOKUP('Données projet'!$B$11,Paramètres!$A$1:$I$89,5,0)</f>
        <v>-1.0286385077051818E-13</v>
      </c>
      <c r="BF175" s="14" t="e">
        <f t="shared" si="167"/>
        <v>#NUM!</v>
      </c>
      <c r="BG175" s="22" t="e">
        <f t="shared" si="168"/>
        <v>#NUM!</v>
      </c>
      <c r="BH175" s="60" t="e">
        <f t="shared" si="116"/>
        <v>#NUM!</v>
      </c>
      <c r="BI175" s="60">
        <f ca="1">AVERAGE(OFFSET($BH$3,0,0,'Données projet'!$E$11+1,1))-AVERAGE(OFFSET($H$3,0,0,'Données projet'!$E$11+1,1))</f>
        <v>529.25712986118265</v>
      </c>
      <c r="BJ175" s="60">
        <f t="shared" si="146"/>
        <v>278.21741231699929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>
        <f>EXP(-LN(2)/35)*BP174+(1-EXP(-LN(2)/35))/(LN(2)/35)*BL175*BM175*VLOOKUP('Données projet'!$B$11,Paramètres!$A$1:$I$89,3,0)*0.475*44/12</f>
        <v>0</v>
      </c>
      <c r="BQ175" s="23">
        <f>EXP(-LN(2)/25)*BQ174+(1-EXP(-LN(2)/25))/(LN(2)/25)*Calculateur!BL175*Calculateur!BN175*VLOOKUP('Données projet'!$B$11,Paramètres!$A$1:$I$89,3,0)*0.475*44/12</f>
        <v>0</v>
      </c>
      <c r="BR175" s="23">
        <f>EXP(-LN(2)/2)*BR174+(1-EXP(-LN(2)/2))/(LN(2)/2)*BL175*BO175*VLOOKUP('Données projet'!$B$11,Paramètres!$A$1:$I$89,3,0)*0.475*44/12</f>
        <v>0</v>
      </c>
      <c r="BS175" s="24">
        <f t="shared" si="169"/>
        <v>0</v>
      </c>
      <c r="BT175" s="77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-1.1368683772161603E-13</v>
      </c>
      <c r="BZ175" s="14">
        <f>BY175*VLOOKUP('Données projet'!$B$12,Paramètres!$A$1:$I$89,3,0)*VLOOKUP('Données projet'!$B$12,Paramètres!$A$1:$I$89,5,0)</f>
        <v>-1.1527845344971866E-13</v>
      </c>
      <c r="CA175" s="14" t="e">
        <f t="shared" si="170"/>
        <v>#NUM!</v>
      </c>
      <c r="CB175" s="22" t="e">
        <f t="shared" si="171"/>
        <v>#NUM!</v>
      </c>
      <c r="CC175" s="60" t="e">
        <f t="shared" si="119"/>
        <v>#NUM!</v>
      </c>
      <c r="CD175" s="60">
        <f ca="1">AVERAGE(OFFSET($CC$3,0,0,'Données projet'!$E$12+1,1))-AVERAGE(OFFSET($H$3,0,0,'Données projet'!$E$12+1,1))</f>
        <v>587.74247372331615</v>
      </c>
      <c r="CE175" s="60">
        <f t="shared" si="148"/>
        <v>306.61893266146666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>
        <f>EXP(-LN(2)/35)*CK174+(1-EXP(-LN(2)/35))/(LN(2)/35)*CG175*CH175*VLOOKUP('Données projet'!$B$12,Paramètres!$A$1:$I$89,3,0)*0.475*44/12</f>
        <v>0</v>
      </c>
      <c r="CL175" s="23">
        <f>EXP(-LN(2)/25)*CL174+(1-EXP(-LN(2)/25))/(LN(2)/25)*Calculateur!CG175*Calculateur!CI175*VLOOKUP('Données projet'!$B$12,Paramètres!$A$1:$I$89,3,0)*0.475*44/12</f>
        <v>0</v>
      </c>
      <c r="CM175" s="23">
        <f>EXP(-LN(2)/2)*CM174+(1-EXP(-LN(2)/2))/(LN(2)/2)*CG175*CJ175*VLOOKUP('Données projet'!$B$12,Paramètres!$A$1:$I$89,3,0)*0.475*44/12</f>
        <v>0</v>
      </c>
      <c r="CN175" s="24">
        <f t="shared" si="172"/>
        <v>0</v>
      </c>
      <c r="CO175" s="77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-1.1368683772161603E-13</v>
      </c>
      <c r="CU175" s="18">
        <f>CT175*VLOOKUP('Données projet'!$B$13,Paramètres!$A$1:$I$89,3,0)*VLOOKUP('Données projet'!$B$13,Paramètres!$A$1:$I$89,5,0)</f>
        <v>-1.223725121235475E-13</v>
      </c>
      <c r="CV175" s="14" t="e">
        <f t="shared" si="173"/>
        <v>#NUM!</v>
      </c>
      <c r="CW175" s="22" t="e">
        <f t="shared" si="174"/>
        <v>#NUM!</v>
      </c>
      <c r="CX175" s="60" t="e">
        <f t="shared" si="122"/>
        <v>#NUM!</v>
      </c>
      <c r="CY175" s="60">
        <f ca="1">AVERAGE(OFFSET($CX$3,0,0,'Données projet'!$E$13+1,1))-AVERAGE(OFFSET($H$3,0,0,'Données projet'!$E$13+1,1))</f>
        <v>621.10465023992288</v>
      </c>
      <c r="CZ175" s="60">
        <f t="shared" si="150"/>
        <v>322.81767004794284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>
        <f>EXP(-LN(2)/35)*DF174+(1-EXP(-LN(2)/35))/(LN(2)/35)*DB175*DC175*VLOOKUP('Données projet'!$B$13,Paramètres!$A$1:$I$89,3,0)*0.475*44/12</f>
        <v>0</v>
      </c>
      <c r="DG175" s="23">
        <f>EXP(-LN(2)/25)*DG174+(1-EXP(-LN(2)/25))/(LN(2)/25)*Calculateur!DB175*Calculateur!DD175*VLOOKUP('Données projet'!$B$13,Paramètres!$A$1:$I$89,3,0)*0.475*44/12</f>
        <v>0</v>
      </c>
      <c r="DH175" s="23">
        <f>EXP(-LN(2)/2)*DH174+(1-EXP(-LN(2)/2))/(LN(2)/2)*DB175*DE175*VLOOKUP('Données projet'!$B$13,Paramètres!$A$1:$I$89,3,0)*0.475*44/12</f>
        <v>0</v>
      </c>
      <c r="DI175" s="24">
        <f t="shared" si="175"/>
        <v>0</v>
      </c>
      <c r="DJ175" s="77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-1.1368683772161603E-13</v>
      </c>
      <c r="DP175" s="18">
        <f>DO175*VLOOKUP('Données projet'!$B$14,Paramètres!$A$1:$I$89,3,0)*VLOOKUP('Données projet'!$B$14,Paramètres!$A$1:$I$89,5,0)</f>
        <v>-1.0995790944434703E-13</v>
      </c>
      <c r="DQ175" s="14" t="e">
        <f t="shared" si="176"/>
        <v>#NUM!</v>
      </c>
      <c r="DR175" s="22" t="e">
        <f t="shared" si="177"/>
        <v>#NUM!</v>
      </c>
      <c r="DS175" s="60" t="e">
        <f t="shared" si="125"/>
        <v>#NUM!</v>
      </c>
      <c r="DT175" s="60">
        <f ca="1">AVERAGE(OFFSET($DS$3,0,0,'Données projet'!$E$14+1,1))-AVERAGE(OFFSET($H$3,0,0,'Données projet'!$E$14+1,1))</f>
        <v>562.69380557620775</v>
      </c>
      <c r="DU175" s="60">
        <f t="shared" si="152"/>
        <v>294.45557293177131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>
        <f>EXP(-LN(2)/35)*EA174+(1-EXP(-LN(2)/35))/(LN(2)/35)*DW175*DX175*VLOOKUP('Données projet'!$B$14,Paramètres!$A$1:$I$89,3,0)*0.475*44/12</f>
        <v>0</v>
      </c>
      <c r="EB175" s="23">
        <f>EXP(-LN(2)/25)*EB174+(1-EXP(-LN(2)/25))/(LN(2)/25)*Calculateur!DW175*Calculateur!DY175*VLOOKUP('Données projet'!$B$14,Paramètres!$A$1:$I$89,3,0)*0.475*44/12</f>
        <v>0</v>
      </c>
      <c r="EC175" s="23">
        <f>EXP(-LN(2)/2)*EC174+(1-EXP(-LN(2)/2))/(LN(2)/2)*DW175*DZ175*VLOOKUP('Données projet'!$B$14,Paramètres!$A$1:$I$89,3,0)*0.475*44/12</f>
        <v>0</v>
      </c>
      <c r="ED175" s="24">
        <f t="shared" si="178"/>
        <v>0</v>
      </c>
      <c r="EE175" s="77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1.1368683772161603E-13</v>
      </c>
      <c r="EK175" s="18">
        <f>EJ175*VLOOKUP('Données projet'!$B$15,Paramètres!$A$1:$I$89,3,0)*VLOOKUP('Données projet'!$B$15,Paramètres!$A$1:$I$89,5,0)</f>
        <v>8.8675733422860506E-14</v>
      </c>
      <c r="EL175" s="14">
        <f t="shared" si="179"/>
        <v>1.3509285393066301E-12</v>
      </c>
      <c r="EM175" s="22">
        <f t="shared" si="180"/>
        <v>2.5073107750038623E-12</v>
      </c>
      <c r="EN175" s="60">
        <f t="shared" si="128"/>
        <v>293.33333333333582</v>
      </c>
      <c r="EO175" s="60">
        <f ca="1">AVERAGE(OFFSET($EN$3,0,0,'Données projet'!$E$15+1,1))-AVERAGE(OFFSET($H$3,0,0,'Données projet'!$E$15+1,1))</f>
        <v>292.57482726862594</v>
      </c>
      <c r="EP175" s="60">
        <f t="shared" si="154"/>
        <v>283.48738729114024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>
        <f>EXP(-LN(2)/35)*EV174+(1-EXP(-LN(2)/35))/(LN(2)/35)*ER175*ES175*VLOOKUP('Données projet'!$B$15,Paramètres!$A$1:$I$89,3,0)*0.475*44/12</f>
        <v>0</v>
      </c>
      <c r="EW175" s="23">
        <f>EXP(-LN(2)/25)*EW174+(1-EXP(-LN(2)/25))/(LN(2)/25)*Calculateur!ER175*Calculateur!ET175*VLOOKUP('Données projet'!$B$15,Paramètres!$A$1:$I$89,3,0)*0.475*44/12</f>
        <v>0</v>
      </c>
      <c r="EX175" s="23">
        <f>EXP(-LN(2)/2)*EX174+(1-EXP(-LN(2)/2))/(LN(2)/2)*ER175*EU175*VLOOKUP('Données projet'!$B$15,Paramètres!$A$1:$I$89,3,0)*0.475*44/12</f>
        <v>0</v>
      </c>
      <c r="EY175" s="24">
        <f t="shared" si="181"/>
        <v>0</v>
      </c>
      <c r="EZ175" s="77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0" t="e">
        <f t="shared" si="131"/>
        <v>#N/A</v>
      </c>
      <c r="FJ175" s="60" t="e">
        <f ca="1">AVERAGE(OFFSET($FI$3,0,0,'Données projet'!$E$16+1,1))-AVERAGE(OFFSET($H$3,0,0,'Données projet'!$E$16+1,1))</f>
        <v>#N/A</v>
      </c>
      <c r="FK175" s="60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77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0" t="e">
        <f t="shared" si="134"/>
        <v>#N/A</v>
      </c>
      <c r="GE175" s="60" t="e">
        <f ca="1">AVERAGE(OFFSET($GD$3,0,0,'Données projet'!$E$17+1,1))-AVERAGE(OFFSET($H$3,0,0,'Données projet'!$E$17+1,1))</f>
        <v>#N/A</v>
      </c>
      <c r="GF175" s="60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77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0" t="e">
        <f t="shared" si="137"/>
        <v>#N/A</v>
      </c>
      <c r="GZ175" s="60" t="e">
        <f ca="1">AVERAGE(OFFSET($GY$3,0,0,'Données projet'!$E$18+1,1))-AVERAGE(OFFSET($H$3,0,0,'Données projet'!$E$18+1,1))</f>
        <v>#N/A</v>
      </c>
      <c r="HA175" s="60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25">
      <c r="A176" s="11">
        <f t="shared" si="161"/>
        <v>173</v>
      </c>
      <c r="B176" s="74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2">
        <f t="shared" si="140"/>
        <v>0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0</v>
      </c>
      <c r="H176" s="67">
        <f t="shared" si="110"/>
        <v>256.66666666666669</v>
      </c>
      <c r="I176" s="7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1.1368683772161603E-13</v>
      </c>
      <c r="O176" s="14">
        <f>N176*VLOOKUP('Données projet'!$B$9,Paramètres!$A$1:$I$89,3,0)*VLOOKUP('Données projet'!$B$9,Paramètres!$A$1:$I$89,5,0)</f>
        <v>1.0818439477588981E-13</v>
      </c>
      <c r="P176" s="14">
        <f t="shared" si="141"/>
        <v>1.6104228458716316E-12</v>
      </c>
      <c r="Q176" s="22">
        <f t="shared" si="162"/>
        <v>2.9932409441277661E-12</v>
      </c>
      <c r="R176" s="60">
        <f t="shared" si="109"/>
        <v>293.33333333333633</v>
      </c>
      <c r="S176" s="60">
        <f ca="1">AVERAGE(OFFSET($R$3,0,0,'Données projet'!$E$9+1,1))-AVERAGE(OFFSET($H$3,0,0,'Données projet'!$E$9+1,1))</f>
        <v>403.49781966317852</v>
      </c>
      <c r="T176" s="60">
        <f t="shared" si="142"/>
        <v>326.06674572505409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0</v>
      </c>
      <c r="AA176" s="23">
        <f>EXP(-LN(2)/25)*AA175+(1-EXP(-LN(2)/25))/(LN(2)/25)*Calculateur!V176*Calculateur!X176*VLOOKUP('Données projet'!$B$9,Paramètres!$A$1:$I$89,3,0)*0.475*44/12</f>
        <v>0</v>
      </c>
      <c r="AB176" s="23">
        <f>EXP(-LN(2)/2)*AB175+(1-EXP(-LN(2)/2))/(LN(2)/2)*V176*Y176*VLOOKUP('Données projet'!$B$9,Paramètres!$A$1:$I$89,3,0)*0.475*44/12</f>
        <v>0</v>
      </c>
      <c r="AC176" s="24">
        <f t="shared" si="163"/>
        <v>0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-1.1368683772161603E-13</v>
      </c>
      <c r="AJ176" s="14">
        <f>AI176*VLOOKUP('Données projet'!$B$10,Paramètres!$A$1:$I$89,3,0)*VLOOKUP('Données projet'!$B$10,Paramètres!$A$1:$I$89,5,0)</f>
        <v>-9.9316821433603781E-14</v>
      </c>
      <c r="AK176" s="14" t="e">
        <f t="shared" si="164"/>
        <v>#NUM!</v>
      </c>
      <c r="AL176" s="22" t="e">
        <f t="shared" si="165"/>
        <v>#NUM!</v>
      </c>
      <c r="AM176" s="60" t="e">
        <f t="shared" si="113"/>
        <v>#NUM!</v>
      </c>
      <c r="AN176" s="60">
        <f ca="1">AVERAGE(OFFSET($AM$3,0,0,'Données projet'!$E$10+1,1))-AVERAGE(OFFSET($H$3,0,0,'Données projet'!$E$10+1,1))</f>
        <v>274.66236526869056</v>
      </c>
      <c r="AO176" s="60">
        <f t="shared" si="144"/>
        <v>256.90876395053073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>
        <f>EXP(-LN(2)/35)*AU175+(1-EXP(-LN(2)/35))/(LN(2)/35)*AQ176*AR176*VLOOKUP('Données projet'!$B$10,Paramètres!$A$1:$I$89,3,0)*0.475*44/12</f>
        <v>0</v>
      </c>
      <c r="AV176" s="23">
        <f>EXP(-LN(2)/25)*AV175+(1-EXP(-LN(2)/25))/(LN(2)/25)*Calculateur!AQ176*Calculateur!AS176*VLOOKUP('Données projet'!$B$10,Paramètres!$A$1:$I$89,3,0)*0.475*44/12</f>
        <v>0</v>
      </c>
      <c r="AW176" s="23">
        <f>EXP(-LN(2)/2)*AW175+(1-EXP(-LN(2)/2))/(LN(2)/2)*AQ176*AT176*VLOOKUP('Données projet'!$B$10,Paramètres!$A$1:$I$89,3,0)*0.475*44/12</f>
        <v>0</v>
      </c>
      <c r="AX176" s="23">
        <f t="shared" si="166"/>
        <v>0</v>
      </c>
      <c r="AY176" s="76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-1.1368683772161603E-13</v>
      </c>
      <c r="BE176" s="14">
        <f>BD176*VLOOKUP('Données projet'!$B$11,Paramètres!$A$1:$I$89,3,0)*VLOOKUP('Données projet'!$B$11,Paramètres!$A$1:$I$89,5,0)</f>
        <v>-1.0286385077051818E-13</v>
      </c>
      <c r="BF176" s="14" t="e">
        <f t="shared" si="167"/>
        <v>#NUM!</v>
      </c>
      <c r="BG176" s="22" t="e">
        <f t="shared" si="168"/>
        <v>#NUM!</v>
      </c>
      <c r="BH176" s="60" t="e">
        <f t="shared" si="116"/>
        <v>#NUM!</v>
      </c>
      <c r="BI176" s="60">
        <f ca="1">AVERAGE(OFFSET($BH$3,0,0,'Données projet'!$E$11+1,1))-AVERAGE(OFFSET($H$3,0,0,'Données projet'!$E$11+1,1))</f>
        <v>529.25712986118265</v>
      </c>
      <c r="BJ176" s="60">
        <f t="shared" si="146"/>
        <v>278.21741231699929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>
        <f>EXP(-LN(2)/35)*BP175+(1-EXP(-LN(2)/35))/(LN(2)/35)*BL176*BM176*VLOOKUP('Données projet'!$B$11,Paramètres!$A$1:$I$89,3,0)*0.475*44/12</f>
        <v>0</v>
      </c>
      <c r="BQ176" s="23">
        <f>EXP(-LN(2)/25)*BQ175+(1-EXP(-LN(2)/25))/(LN(2)/25)*Calculateur!BL176*Calculateur!BN176*VLOOKUP('Données projet'!$B$11,Paramètres!$A$1:$I$89,3,0)*0.475*44/12</f>
        <v>0</v>
      </c>
      <c r="BR176" s="23">
        <f>EXP(-LN(2)/2)*BR175+(1-EXP(-LN(2)/2))/(LN(2)/2)*BL176*BO176*VLOOKUP('Données projet'!$B$11,Paramètres!$A$1:$I$89,3,0)*0.475*44/12</f>
        <v>0</v>
      </c>
      <c r="BS176" s="24">
        <f t="shared" si="169"/>
        <v>0</v>
      </c>
      <c r="BT176" s="77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-1.1368683772161603E-13</v>
      </c>
      <c r="BZ176" s="14">
        <f>BY176*VLOOKUP('Données projet'!$B$12,Paramètres!$A$1:$I$89,3,0)*VLOOKUP('Données projet'!$B$12,Paramètres!$A$1:$I$89,5,0)</f>
        <v>-1.1527845344971866E-13</v>
      </c>
      <c r="CA176" s="14" t="e">
        <f t="shared" si="170"/>
        <v>#NUM!</v>
      </c>
      <c r="CB176" s="22" t="e">
        <f t="shared" si="171"/>
        <v>#NUM!</v>
      </c>
      <c r="CC176" s="60" t="e">
        <f t="shared" si="119"/>
        <v>#NUM!</v>
      </c>
      <c r="CD176" s="60">
        <f ca="1">AVERAGE(OFFSET($CC$3,0,0,'Données projet'!$E$12+1,1))-AVERAGE(OFFSET($H$3,0,0,'Données projet'!$E$12+1,1))</f>
        <v>587.74247372331615</v>
      </c>
      <c r="CE176" s="60">
        <f t="shared" si="148"/>
        <v>306.61893266146666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>
        <f>EXP(-LN(2)/35)*CK175+(1-EXP(-LN(2)/35))/(LN(2)/35)*CG176*CH176*VLOOKUP('Données projet'!$B$12,Paramètres!$A$1:$I$89,3,0)*0.475*44/12</f>
        <v>0</v>
      </c>
      <c r="CL176" s="23">
        <f>EXP(-LN(2)/25)*CL175+(1-EXP(-LN(2)/25))/(LN(2)/25)*Calculateur!CG176*Calculateur!CI176*VLOOKUP('Données projet'!$B$12,Paramètres!$A$1:$I$89,3,0)*0.475*44/12</f>
        <v>0</v>
      </c>
      <c r="CM176" s="23">
        <f>EXP(-LN(2)/2)*CM175+(1-EXP(-LN(2)/2))/(LN(2)/2)*CG176*CJ176*VLOOKUP('Données projet'!$B$12,Paramètres!$A$1:$I$89,3,0)*0.475*44/12</f>
        <v>0</v>
      </c>
      <c r="CN176" s="24">
        <f t="shared" si="172"/>
        <v>0</v>
      </c>
      <c r="CO176" s="77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-1.1368683772161603E-13</v>
      </c>
      <c r="CU176" s="18">
        <f>CT176*VLOOKUP('Données projet'!$B$13,Paramètres!$A$1:$I$89,3,0)*VLOOKUP('Données projet'!$B$13,Paramètres!$A$1:$I$89,5,0)</f>
        <v>-1.223725121235475E-13</v>
      </c>
      <c r="CV176" s="14" t="e">
        <f t="shared" si="173"/>
        <v>#NUM!</v>
      </c>
      <c r="CW176" s="22" t="e">
        <f t="shared" si="174"/>
        <v>#NUM!</v>
      </c>
      <c r="CX176" s="60" t="e">
        <f t="shared" si="122"/>
        <v>#NUM!</v>
      </c>
      <c r="CY176" s="60">
        <f ca="1">AVERAGE(OFFSET($CX$3,0,0,'Données projet'!$E$13+1,1))-AVERAGE(OFFSET($H$3,0,0,'Données projet'!$E$13+1,1))</f>
        <v>621.10465023992288</v>
      </c>
      <c r="CZ176" s="60">
        <f t="shared" si="150"/>
        <v>322.81767004794284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>
        <f>EXP(-LN(2)/35)*DF175+(1-EXP(-LN(2)/35))/(LN(2)/35)*DB176*DC176*VLOOKUP('Données projet'!$B$13,Paramètres!$A$1:$I$89,3,0)*0.475*44/12</f>
        <v>0</v>
      </c>
      <c r="DG176" s="23">
        <f>EXP(-LN(2)/25)*DG175+(1-EXP(-LN(2)/25))/(LN(2)/25)*Calculateur!DB176*Calculateur!DD176*VLOOKUP('Données projet'!$B$13,Paramètres!$A$1:$I$89,3,0)*0.475*44/12</f>
        <v>0</v>
      </c>
      <c r="DH176" s="23">
        <f>EXP(-LN(2)/2)*DH175+(1-EXP(-LN(2)/2))/(LN(2)/2)*DB176*DE176*VLOOKUP('Données projet'!$B$13,Paramètres!$A$1:$I$89,3,0)*0.475*44/12</f>
        <v>0</v>
      </c>
      <c r="DI176" s="24">
        <f t="shared" si="175"/>
        <v>0</v>
      </c>
      <c r="DJ176" s="77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-1.1368683772161603E-13</v>
      </c>
      <c r="DP176" s="18">
        <f>DO176*VLOOKUP('Données projet'!$B$14,Paramètres!$A$1:$I$89,3,0)*VLOOKUP('Données projet'!$B$14,Paramètres!$A$1:$I$89,5,0)</f>
        <v>-1.0995790944434703E-13</v>
      </c>
      <c r="DQ176" s="14" t="e">
        <f t="shared" si="176"/>
        <v>#NUM!</v>
      </c>
      <c r="DR176" s="22" t="e">
        <f t="shared" si="177"/>
        <v>#NUM!</v>
      </c>
      <c r="DS176" s="60" t="e">
        <f t="shared" si="125"/>
        <v>#NUM!</v>
      </c>
      <c r="DT176" s="60">
        <f ca="1">AVERAGE(OFFSET($DS$3,0,0,'Données projet'!$E$14+1,1))-AVERAGE(OFFSET($H$3,0,0,'Données projet'!$E$14+1,1))</f>
        <v>562.69380557620775</v>
      </c>
      <c r="DU176" s="60">
        <f t="shared" si="152"/>
        <v>294.45557293177131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>
        <f>EXP(-LN(2)/35)*EA175+(1-EXP(-LN(2)/35))/(LN(2)/35)*DW176*DX176*VLOOKUP('Données projet'!$B$14,Paramètres!$A$1:$I$89,3,0)*0.475*44/12</f>
        <v>0</v>
      </c>
      <c r="EB176" s="23">
        <f>EXP(-LN(2)/25)*EB175+(1-EXP(-LN(2)/25))/(LN(2)/25)*Calculateur!DW176*Calculateur!DY176*VLOOKUP('Données projet'!$B$14,Paramètres!$A$1:$I$89,3,0)*0.475*44/12</f>
        <v>0</v>
      </c>
      <c r="EC176" s="23">
        <f>EXP(-LN(2)/2)*EC175+(1-EXP(-LN(2)/2))/(LN(2)/2)*DW176*DZ176*VLOOKUP('Données projet'!$B$14,Paramètres!$A$1:$I$89,3,0)*0.475*44/12</f>
        <v>0</v>
      </c>
      <c r="ED176" s="24">
        <f t="shared" si="178"/>
        <v>0</v>
      </c>
      <c r="EE176" s="77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1.1368683772161603E-13</v>
      </c>
      <c r="EK176" s="18">
        <f>EJ176*VLOOKUP('Données projet'!$B$15,Paramètres!$A$1:$I$89,3,0)*VLOOKUP('Données projet'!$B$15,Paramètres!$A$1:$I$89,5,0)</f>
        <v>8.8675733422860506E-14</v>
      </c>
      <c r="EL176" s="14">
        <f t="shared" si="179"/>
        <v>1.3509285393066301E-12</v>
      </c>
      <c r="EM176" s="22">
        <f t="shared" si="180"/>
        <v>2.5073107750038623E-12</v>
      </c>
      <c r="EN176" s="60">
        <f t="shared" si="128"/>
        <v>293.33333333333582</v>
      </c>
      <c r="EO176" s="60">
        <f ca="1">AVERAGE(OFFSET($EN$3,0,0,'Données projet'!$E$15+1,1))-AVERAGE(OFFSET($H$3,0,0,'Données projet'!$E$15+1,1))</f>
        <v>292.57482726862594</v>
      </c>
      <c r="EP176" s="60">
        <f t="shared" si="154"/>
        <v>283.48738729114024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>
        <f>EXP(-LN(2)/35)*EV175+(1-EXP(-LN(2)/35))/(LN(2)/35)*ER176*ES176*VLOOKUP('Données projet'!$B$15,Paramètres!$A$1:$I$89,3,0)*0.475*44/12</f>
        <v>0</v>
      </c>
      <c r="EW176" s="23">
        <f>EXP(-LN(2)/25)*EW175+(1-EXP(-LN(2)/25))/(LN(2)/25)*Calculateur!ER176*Calculateur!ET176*VLOOKUP('Données projet'!$B$15,Paramètres!$A$1:$I$89,3,0)*0.475*44/12</f>
        <v>0</v>
      </c>
      <c r="EX176" s="23">
        <f>EXP(-LN(2)/2)*EX175+(1-EXP(-LN(2)/2))/(LN(2)/2)*ER176*EU176*VLOOKUP('Données projet'!$B$15,Paramètres!$A$1:$I$89,3,0)*0.475*44/12</f>
        <v>0</v>
      </c>
      <c r="EY176" s="24">
        <f t="shared" si="181"/>
        <v>0</v>
      </c>
      <c r="EZ176" s="77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0" t="e">
        <f t="shared" si="131"/>
        <v>#N/A</v>
      </c>
      <c r="FJ176" s="60" t="e">
        <f ca="1">AVERAGE(OFFSET($FI$3,0,0,'Données projet'!$E$16+1,1))-AVERAGE(OFFSET($H$3,0,0,'Données projet'!$E$16+1,1))</f>
        <v>#N/A</v>
      </c>
      <c r="FK176" s="60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77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0" t="e">
        <f t="shared" si="134"/>
        <v>#N/A</v>
      </c>
      <c r="GE176" s="60" t="e">
        <f ca="1">AVERAGE(OFFSET($GD$3,0,0,'Données projet'!$E$17+1,1))-AVERAGE(OFFSET($H$3,0,0,'Données projet'!$E$17+1,1))</f>
        <v>#N/A</v>
      </c>
      <c r="GF176" s="60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77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0" t="e">
        <f t="shared" si="137"/>
        <v>#N/A</v>
      </c>
      <c r="GZ176" s="60" t="e">
        <f ca="1">AVERAGE(OFFSET($GY$3,0,0,'Données projet'!$E$18+1,1))-AVERAGE(OFFSET($H$3,0,0,'Données projet'!$E$18+1,1))</f>
        <v>#N/A</v>
      </c>
      <c r="HA176" s="60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25">
      <c r="A177" s="11">
        <f t="shared" si="161"/>
        <v>174</v>
      </c>
      <c r="B177" s="74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2">
        <f t="shared" si="140"/>
        <v>0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0</v>
      </c>
      <c r="H177" s="67">
        <f t="shared" si="110"/>
        <v>256.66666666666669</v>
      </c>
      <c r="I177" s="7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1.1368683772161603E-13</v>
      </c>
      <c r="O177" s="14">
        <f>N177*VLOOKUP('Données projet'!$B$9,Paramètres!$A$1:$I$89,3,0)*VLOOKUP('Données projet'!$B$9,Paramètres!$A$1:$I$89,5,0)</f>
        <v>1.0818439477588981E-13</v>
      </c>
      <c r="P177" s="14">
        <f t="shared" si="141"/>
        <v>1.6104228458716316E-12</v>
      </c>
      <c r="Q177" s="22">
        <f t="shared" si="162"/>
        <v>2.9932409441277661E-12</v>
      </c>
      <c r="R177" s="60">
        <f t="shared" si="109"/>
        <v>293.33333333333633</v>
      </c>
      <c r="S177" s="60">
        <f ca="1">AVERAGE(OFFSET($R$3,0,0,'Données projet'!$E$9+1,1))-AVERAGE(OFFSET($H$3,0,0,'Données projet'!$E$9+1,1))</f>
        <v>403.49781966317852</v>
      </c>
      <c r="T177" s="60">
        <f t="shared" si="142"/>
        <v>326.06674572505409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0</v>
      </c>
      <c r="AA177" s="23">
        <f>EXP(-LN(2)/25)*AA176+(1-EXP(-LN(2)/25))/(LN(2)/25)*Calculateur!V177*Calculateur!X177*VLOOKUP('Données projet'!$B$9,Paramètres!$A$1:$I$89,3,0)*0.475*44/12</f>
        <v>0</v>
      </c>
      <c r="AB177" s="23">
        <f>EXP(-LN(2)/2)*AB176+(1-EXP(-LN(2)/2))/(LN(2)/2)*V177*Y177*VLOOKUP('Données projet'!$B$9,Paramètres!$A$1:$I$89,3,0)*0.475*44/12</f>
        <v>0</v>
      </c>
      <c r="AC177" s="24">
        <f t="shared" si="163"/>
        <v>0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-1.1368683772161603E-13</v>
      </c>
      <c r="AJ177" s="14">
        <f>AI177*VLOOKUP('Données projet'!$B$10,Paramètres!$A$1:$I$89,3,0)*VLOOKUP('Données projet'!$B$10,Paramètres!$A$1:$I$89,5,0)</f>
        <v>-9.9316821433603781E-14</v>
      </c>
      <c r="AK177" s="14" t="e">
        <f t="shared" si="164"/>
        <v>#NUM!</v>
      </c>
      <c r="AL177" s="22" t="e">
        <f t="shared" si="165"/>
        <v>#NUM!</v>
      </c>
      <c r="AM177" s="60" t="e">
        <f t="shared" si="113"/>
        <v>#NUM!</v>
      </c>
      <c r="AN177" s="60">
        <f ca="1">AVERAGE(OFFSET($AM$3,0,0,'Données projet'!$E$10+1,1))-AVERAGE(OFFSET($H$3,0,0,'Données projet'!$E$10+1,1))</f>
        <v>274.66236526869056</v>
      </c>
      <c r="AO177" s="60">
        <f t="shared" si="144"/>
        <v>256.90876395053073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>
        <f>EXP(-LN(2)/35)*AU176+(1-EXP(-LN(2)/35))/(LN(2)/35)*AQ177*AR177*VLOOKUP('Données projet'!$B$10,Paramètres!$A$1:$I$89,3,0)*0.475*44/12</f>
        <v>0</v>
      </c>
      <c r="AV177" s="23">
        <f>EXP(-LN(2)/25)*AV176+(1-EXP(-LN(2)/25))/(LN(2)/25)*Calculateur!AQ177*Calculateur!AS177*VLOOKUP('Données projet'!$B$10,Paramètres!$A$1:$I$89,3,0)*0.475*44/12</f>
        <v>0</v>
      </c>
      <c r="AW177" s="23">
        <f>EXP(-LN(2)/2)*AW176+(1-EXP(-LN(2)/2))/(LN(2)/2)*AQ177*AT177*VLOOKUP('Données projet'!$B$10,Paramètres!$A$1:$I$89,3,0)*0.475*44/12</f>
        <v>0</v>
      </c>
      <c r="AX177" s="23">
        <f t="shared" si="166"/>
        <v>0</v>
      </c>
      <c r="AY177" s="76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-1.1368683772161603E-13</v>
      </c>
      <c r="BE177" s="14">
        <f>BD177*VLOOKUP('Données projet'!$B$11,Paramètres!$A$1:$I$89,3,0)*VLOOKUP('Données projet'!$B$11,Paramètres!$A$1:$I$89,5,0)</f>
        <v>-1.0286385077051818E-13</v>
      </c>
      <c r="BF177" s="14" t="e">
        <f t="shared" si="167"/>
        <v>#NUM!</v>
      </c>
      <c r="BG177" s="22" t="e">
        <f t="shared" si="168"/>
        <v>#NUM!</v>
      </c>
      <c r="BH177" s="60" t="e">
        <f t="shared" si="116"/>
        <v>#NUM!</v>
      </c>
      <c r="BI177" s="60">
        <f ca="1">AVERAGE(OFFSET($BH$3,0,0,'Données projet'!$E$11+1,1))-AVERAGE(OFFSET($H$3,0,0,'Données projet'!$E$11+1,1))</f>
        <v>529.25712986118265</v>
      </c>
      <c r="BJ177" s="60">
        <f t="shared" si="146"/>
        <v>278.21741231699929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>
        <f>EXP(-LN(2)/35)*BP176+(1-EXP(-LN(2)/35))/(LN(2)/35)*BL177*BM177*VLOOKUP('Données projet'!$B$11,Paramètres!$A$1:$I$89,3,0)*0.475*44/12</f>
        <v>0</v>
      </c>
      <c r="BQ177" s="23">
        <f>EXP(-LN(2)/25)*BQ176+(1-EXP(-LN(2)/25))/(LN(2)/25)*Calculateur!BL177*Calculateur!BN177*VLOOKUP('Données projet'!$B$11,Paramètres!$A$1:$I$89,3,0)*0.475*44/12</f>
        <v>0</v>
      </c>
      <c r="BR177" s="23">
        <f>EXP(-LN(2)/2)*BR176+(1-EXP(-LN(2)/2))/(LN(2)/2)*BL177*BO177*VLOOKUP('Données projet'!$B$11,Paramètres!$A$1:$I$89,3,0)*0.475*44/12</f>
        <v>0</v>
      </c>
      <c r="BS177" s="24">
        <f t="shared" si="169"/>
        <v>0</v>
      </c>
      <c r="BT177" s="77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-1.1368683772161603E-13</v>
      </c>
      <c r="BZ177" s="14">
        <f>BY177*VLOOKUP('Données projet'!$B$12,Paramètres!$A$1:$I$89,3,0)*VLOOKUP('Données projet'!$B$12,Paramètres!$A$1:$I$89,5,0)</f>
        <v>-1.1527845344971866E-13</v>
      </c>
      <c r="CA177" s="14" t="e">
        <f t="shared" si="170"/>
        <v>#NUM!</v>
      </c>
      <c r="CB177" s="22" t="e">
        <f t="shared" si="171"/>
        <v>#NUM!</v>
      </c>
      <c r="CC177" s="60" t="e">
        <f t="shared" si="119"/>
        <v>#NUM!</v>
      </c>
      <c r="CD177" s="60">
        <f ca="1">AVERAGE(OFFSET($CC$3,0,0,'Données projet'!$E$12+1,1))-AVERAGE(OFFSET($H$3,0,0,'Données projet'!$E$12+1,1))</f>
        <v>587.74247372331615</v>
      </c>
      <c r="CE177" s="60">
        <f t="shared" si="148"/>
        <v>306.61893266146666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>
        <f>EXP(-LN(2)/35)*CK176+(1-EXP(-LN(2)/35))/(LN(2)/35)*CG177*CH177*VLOOKUP('Données projet'!$B$12,Paramètres!$A$1:$I$89,3,0)*0.475*44/12</f>
        <v>0</v>
      </c>
      <c r="CL177" s="23">
        <f>EXP(-LN(2)/25)*CL176+(1-EXP(-LN(2)/25))/(LN(2)/25)*Calculateur!CG177*Calculateur!CI177*VLOOKUP('Données projet'!$B$12,Paramètres!$A$1:$I$89,3,0)*0.475*44/12</f>
        <v>0</v>
      </c>
      <c r="CM177" s="23">
        <f>EXP(-LN(2)/2)*CM176+(1-EXP(-LN(2)/2))/(LN(2)/2)*CG177*CJ177*VLOOKUP('Données projet'!$B$12,Paramètres!$A$1:$I$89,3,0)*0.475*44/12</f>
        <v>0</v>
      </c>
      <c r="CN177" s="24">
        <f t="shared" si="172"/>
        <v>0</v>
      </c>
      <c r="CO177" s="77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-1.1368683772161603E-13</v>
      </c>
      <c r="CU177" s="18">
        <f>CT177*VLOOKUP('Données projet'!$B$13,Paramètres!$A$1:$I$89,3,0)*VLOOKUP('Données projet'!$B$13,Paramètres!$A$1:$I$89,5,0)</f>
        <v>-1.223725121235475E-13</v>
      </c>
      <c r="CV177" s="14" t="e">
        <f t="shared" si="173"/>
        <v>#NUM!</v>
      </c>
      <c r="CW177" s="22" t="e">
        <f t="shared" si="174"/>
        <v>#NUM!</v>
      </c>
      <c r="CX177" s="60" t="e">
        <f t="shared" si="122"/>
        <v>#NUM!</v>
      </c>
      <c r="CY177" s="60">
        <f ca="1">AVERAGE(OFFSET($CX$3,0,0,'Données projet'!$E$13+1,1))-AVERAGE(OFFSET($H$3,0,0,'Données projet'!$E$13+1,1))</f>
        <v>621.10465023992288</v>
      </c>
      <c r="CZ177" s="60">
        <f t="shared" si="150"/>
        <v>322.81767004794284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>
        <f>EXP(-LN(2)/35)*DF176+(1-EXP(-LN(2)/35))/(LN(2)/35)*DB177*DC177*VLOOKUP('Données projet'!$B$13,Paramètres!$A$1:$I$89,3,0)*0.475*44/12</f>
        <v>0</v>
      </c>
      <c r="DG177" s="23">
        <f>EXP(-LN(2)/25)*DG176+(1-EXP(-LN(2)/25))/(LN(2)/25)*Calculateur!DB177*Calculateur!DD177*VLOOKUP('Données projet'!$B$13,Paramètres!$A$1:$I$89,3,0)*0.475*44/12</f>
        <v>0</v>
      </c>
      <c r="DH177" s="23">
        <f>EXP(-LN(2)/2)*DH176+(1-EXP(-LN(2)/2))/(LN(2)/2)*DB177*DE177*VLOOKUP('Données projet'!$B$13,Paramètres!$A$1:$I$89,3,0)*0.475*44/12</f>
        <v>0</v>
      </c>
      <c r="DI177" s="24">
        <f t="shared" si="175"/>
        <v>0</v>
      </c>
      <c r="DJ177" s="77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-1.1368683772161603E-13</v>
      </c>
      <c r="DP177" s="18">
        <f>DO177*VLOOKUP('Données projet'!$B$14,Paramètres!$A$1:$I$89,3,0)*VLOOKUP('Données projet'!$B$14,Paramètres!$A$1:$I$89,5,0)</f>
        <v>-1.0995790944434703E-13</v>
      </c>
      <c r="DQ177" s="14" t="e">
        <f t="shared" si="176"/>
        <v>#NUM!</v>
      </c>
      <c r="DR177" s="22" t="e">
        <f t="shared" si="177"/>
        <v>#NUM!</v>
      </c>
      <c r="DS177" s="60" t="e">
        <f t="shared" si="125"/>
        <v>#NUM!</v>
      </c>
      <c r="DT177" s="60">
        <f ca="1">AVERAGE(OFFSET($DS$3,0,0,'Données projet'!$E$14+1,1))-AVERAGE(OFFSET($H$3,0,0,'Données projet'!$E$14+1,1))</f>
        <v>562.69380557620775</v>
      </c>
      <c r="DU177" s="60">
        <f t="shared" si="152"/>
        <v>294.45557293177131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>
        <f>EXP(-LN(2)/35)*EA176+(1-EXP(-LN(2)/35))/(LN(2)/35)*DW177*DX177*VLOOKUP('Données projet'!$B$14,Paramètres!$A$1:$I$89,3,0)*0.475*44/12</f>
        <v>0</v>
      </c>
      <c r="EB177" s="23">
        <f>EXP(-LN(2)/25)*EB176+(1-EXP(-LN(2)/25))/(LN(2)/25)*Calculateur!DW177*Calculateur!DY177*VLOOKUP('Données projet'!$B$14,Paramètres!$A$1:$I$89,3,0)*0.475*44/12</f>
        <v>0</v>
      </c>
      <c r="EC177" s="23">
        <f>EXP(-LN(2)/2)*EC176+(1-EXP(-LN(2)/2))/(LN(2)/2)*DW177*DZ177*VLOOKUP('Données projet'!$B$14,Paramètres!$A$1:$I$89,3,0)*0.475*44/12</f>
        <v>0</v>
      </c>
      <c r="ED177" s="24">
        <f t="shared" si="178"/>
        <v>0</v>
      </c>
      <c r="EE177" s="77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1.1368683772161603E-13</v>
      </c>
      <c r="EK177" s="18">
        <f>EJ177*VLOOKUP('Données projet'!$B$15,Paramètres!$A$1:$I$89,3,0)*VLOOKUP('Données projet'!$B$15,Paramètres!$A$1:$I$89,5,0)</f>
        <v>8.8675733422860506E-14</v>
      </c>
      <c r="EL177" s="14">
        <f t="shared" si="179"/>
        <v>1.3509285393066301E-12</v>
      </c>
      <c r="EM177" s="22">
        <f t="shared" si="180"/>
        <v>2.5073107750038623E-12</v>
      </c>
      <c r="EN177" s="60">
        <f t="shared" si="128"/>
        <v>293.33333333333582</v>
      </c>
      <c r="EO177" s="60">
        <f ca="1">AVERAGE(OFFSET($EN$3,0,0,'Données projet'!$E$15+1,1))-AVERAGE(OFFSET($H$3,0,0,'Données projet'!$E$15+1,1))</f>
        <v>292.57482726862594</v>
      </c>
      <c r="EP177" s="60">
        <f t="shared" si="154"/>
        <v>283.48738729114024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>
        <f>EXP(-LN(2)/35)*EV176+(1-EXP(-LN(2)/35))/(LN(2)/35)*ER177*ES177*VLOOKUP('Données projet'!$B$15,Paramètres!$A$1:$I$89,3,0)*0.475*44/12</f>
        <v>0</v>
      </c>
      <c r="EW177" s="23">
        <f>EXP(-LN(2)/25)*EW176+(1-EXP(-LN(2)/25))/(LN(2)/25)*Calculateur!ER177*Calculateur!ET177*VLOOKUP('Données projet'!$B$15,Paramètres!$A$1:$I$89,3,0)*0.475*44/12</f>
        <v>0</v>
      </c>
      <c r="EX177" s="23">
        <f>EXP(-LN(2)/2)*EX176+(1-EXP(-LN(2)/2))/(LN(2)/2)*ER177*EU177*VLOOKUP('Données projet'!$B$15,Paramètres!$A$1:$I$89,3,0)*0.475*44/12</f>
        <v>0</v>
      </c>
      <c r="EY177" s="24">
        <f t="shared" si="181"/>
        <v>0</v>
      </c>
      <c r="EZ177" s="77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0" t="e">
        <f t="shared" si="131"/>
        <v>#N/A</v>
      </c>
      <c r="FJ177" s="60" t="e">
        <f ca="1">AVERAGE(OFFSET($FI$3,0,0,'Données projet'!$E$16+1,1))-AVERAGE(OFFSET($H$3,0,0,'Données projet'!$E$16+1,1))</f>
        <v>#N/A</v>
      </c>
      <c r="FK177" s="60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77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0" t="e">
        <f t="shared" si="134"/>
        <v>#N/A</v>
      </c>
      <c r="GE177" s="60" t="e">
        <f ca="1">AVERAGE(OFFSET($GD$3,0,0,'Données projet'!$E$17+1,1))-AVERAGE(OFFSET($H$3,0,0,'Données projet'!$E$17+1,1))</f>
        <v>#N/A</v>
      </c>
      <c r="GF177" s="60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77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0" t="e">
        <f t="shared" si="137"/>
        <v>#N/A</v>
      </c>
      <c r="GZ177" s="60" t="e">
        <f ca="1">AVERAGE(OFFSET($GY$3,0,0,'Données projet'!$E$18+1,1))-AVERAGE(OFFSET($H$3,0,0,'Données projet'!$E$18+1,1))</f>
        <v>#N/A</v>
      </c>
      <c r="HA177" s="60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25">
      <c r="A178" s="11">
        <f t="shared" si="161"/>
        <v>175</v>
      </c>
      <c r="B178" s="74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2">
        <f t="shared" si="140"/>
        <v>0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0</v>
      </c>
      <c r="H178" s="67">
        <f t="shared" si="110"/>
        <v>256.66666666666669</v>
      </c>
      <c r="I178" s="7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1.1368683772161603E-13</v>
      </c>
      <c r="O178" s="14">
        <f>N178*VLOOKUP('Données projet'!$B$9,Paramètres!$A$1:$I$89,3,0)*VLOOKUP('Données projet'!$B$9,Paramètres!$A$1:$I$89,5,0)</f>
        <v>1.0818439477588981E-13</v>
      </c>
      <c r="P178" s="14">
        <f t="shared" si="141"/>
        <v>1.6104228458716316E-12</v>
      </c>
      <c r="Q178" s="22">
        <f t="shared" si="162"/>
        <v>2.9932409441277661E-12</v>
      </c>
      <c r="R178" s="60">
        <f t="shared" si="109"/>
        <v>293.33333333333633</v>
      </c>
      <c r="S178" s="60">
        <f ca="1">AVERAGE(OFFSET($R$3,0,0,'Données projet'!$E$9+1,1))-AVERAGE(OFFSET($H$3,0,0,'Données projet'!$E$9+1,1))</f>
        <v>403.49781966317852</v>
      </c>
      <c r="T178" s="60">
        <f t="shared" si="142"/>
        <v>326.06674572505409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0</v>
      </c>
      <c r="AA178" s="23">
        <f>EXP(-LN(2)/25)*AA177+(1-EXP(-LN(2)/25))/(LN(2)/25)*Calculateur!V178*Calculateur!X178*VLOOKUP('Données projet'!$B$9,Paramètres!$A$1:$I$89,3,0)*0.475*44/12</f>
        <v>0</v>
      </c>
      <c r="AB178" s="23">
        <f>EXP(-LN(2)/2)*AB177+(1-EXP(-LN(2)/2))/(LN(2)/2)*V178*Y178*VLOOKUP('Données projet'!$B$9,Paramètres!$A$1:$I$89,3,0)*0.475*44/12</f>
        <v>0</v>
      </c>
      <c r="AC178" s="24">
        <f t="shared" si="163"/>
        <v>0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-1.1368683772161603E-13</v>
      </c>
      <c r="AJ178" s="14">
        <f>AI178*VLOOKUP('Données projet'!$B$10,Paramètres!$A$1:$I$89,3,0)*VLOOKUP('Données projet'!$B$10,Paramètres!$A$1:$I$89,5,0)</f>
        <v>-9.9316821433603781E-14</v>
      </c>
      <c r="AK178" s="14" t="e">
        <f t="shared" si="164"/>
        <v>#NUM!</v>
      </c>
      <c r="AL178" s="22" t="e">
        <f t="shared" si="165"/>
        <v>#NUM!</v>
      </c>
      <c r="AM178" s="60" t="e">
        <f t="shared" si="113"/>
        <v>#NUM!</v>
      </c>
      <c r="AN178" s="60">
        <f ca="1">AVERAGE(OFFSET($AM$3,0,0,'Données projet'!$E$10+1,1))-AVERAGE(OFFSET($H$3,0,0,'Données projet'!$E$10+1,1))</f>
        <v>274.66236526869056</v>
      </c>
      <c r="AO178" s="60">
        <f t="shared" si="144"/>
        <v>256.90876395053073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>
        <f>EXP(-LN(2)/35)*AU177+(1-EXP(-LN(2)/35))/(LN(2)/35)*AQ178*AR178*VLOOKUP('Données projet'!$B$10,Paramètres!$A$1:$I$89,3,0)*0.475*44/12</f>
        <v>0</v>
      </c>
      <c r="AV178" s="23">
        <f>EXP(-LN(2)/25)*AV177+(1-EXP(-LN(2)/25))/(LN(2)/25)*Calculateur!AQ178*Calculateur!AS178*VLOOKUP('Données projet'!$B$10,Paramètres!$A$1:$I$89,3,0)*0.475*44/12</f>
        <v>0</v>
      </c>
      <c r="AW178" s="23">
        <f>EXP(-LN(2)/2)*AW177+(1-EXP(-LN(2)/2))/(LN(2)/2)*AQ178*AT178*VLOOKUP('Données projet'!$B$10,Paramètres!$A$1:$I$89,3,0)*0.475*44/12</f>
        <v>0</v>
      </c>
      <c r="AX178" s="23">
        <f t="shared" si="166"/>
        <v>0</v>
      </c>
      <c r="AY178" s="76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-1.1368683772161603E-13</v>
      </c>
      <c r="BE178" s="14">
        <f>BD178*VLOOKUP('Données projet'!$B$11,Paramètres!$A$1:$I$89,3,0)*VLOOKUP('Données projet'!$B$11,Paramètres!$A$1:$I$89,5,0)</f>
        <v>-1.0286385077051818E-13</v>
      </c>
      <c r="BF178" s="14" t="e">
        <f t="shared" si="167"/>
        <v>#NUM!</v>
      </c>
      <c r="BG178" s="22" t="e">
        <f t="shared" si="168"/>
        <v>#NUM!</v>
      </c>
      <c r="BH178" s="60" t="e">
        <f t="shared" si="116"/>
        <v>#NUM!</v>
      </c>
      <c r="BI178" s="60">
        <f ca="1">AVERAGE(OFFSET($BH$3,0,0,'Données projet'!$E$11+1,1))-AVERAGE(OFFSET($H$3,0,0,'Données projet'!$E$11+1,1))</f>
        <v>529.25712986118265</v>
      </c>
      <c r="BJ178" s="60">
        <f t="shared" si="146"/>
        <v>278.21741231699929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>
        <f>EXP(-LN(2)/35)*BP177+(1-EXP(-LN(2)/35))/(LN(2)/35)*BL178*BM178*VLOOKUP('Données projet'!$B$11,Paramètres!$A$1:$I$89,3,0)*0.475*44/12</f>
        <v>0</v>
      </c>
      <c r="BQ178" s="23">
        <f>EXP(-LN(2)/25)*BQ177+(1-EXP(-LN(2)/25))/(LN(2)/25)*Calculateur!BL178*Calculateur!BN178*VLOOKUP('Données projet'!$B$11,Paramètres!$A$1:$I$89,3,0)*0.475*44/12</f>
        <v>0</v>
      </c>
      <c r="BR178" s="23">
        <f>EXP(-LN(2)/2)*BR177+(1-EXP(-LN(2)/2))/(LN(2)/2)*BL178*BO178*VLOOKUP('Données projet'!$B$11,Paramètres!$A$1:$I$89,3,0)*0.475*44/12</f>
        <v>0</v>
      </c>
      <c r="BS178" s="24">
        <f t="shared" si="169"/>
        <v>0</v>
      </c>
      <c r="BT178" s="77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-1.1368683772161603E-13</v>
      </c>
      <c r="BZ178" s="14">
        <f>BY178*VLOOKUP('Données projet'!$B$12,Paramètres!$A$1:$I$89,3,0)*VLOOKUP('Données projet'!$B$12,Paramètres!$A$1:$I$89,5,0)</f>
        <v>-1.1527845344971866E-13</v>
      </c>
      <c r="CA178" s="14" t="e">
        <f t="shared" si="170"/>
        <v>#NUM!</v>
      </c>
      <c r="CB178" s="22" t="e">
        <f t="shared" si="171"/>
        <v>#NUM!</v>
      </c>
      <c r="CC178" s="60" t="e">
        <f t="shared" si="119"/>
        <v>#NUM!</v>
      </c>
      <c r="CD178" s="60">
        <f ca="1">AVERAGE(OFFSET($CC$3,0,0,'Données projet'!$E$12+1,1))-AVERAGE(OFFSET($H$3,0,0,'Données projet'!$E$12+1,1))</f>
        <v>587.74247372331615</v>
      </c>
      <c r="CE178" s="60">
        <f t="shared" si="148"/>
        <v>306.61893266146666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>
        <f>EXP(-LN(2)/35)*CK177+(1-EXP(-LN(2)/35))/(LN(2)/35)*CG178*CH178*VLOOKUP('Données projet'!$B$12,Paramètres!$A$1:$I$89,3,0)*0.475*44/12</f>
        <v>0</v>
      </c>
      <c r="CL178" s="23">
        <f>EXP(-LN(2)/25)*CL177+(1-EXP(-LN(2)/25))/(LN(2)/25)*Calculateur!CG178*Calculateur!CI178*VLOOKUP('Données projet'!$B$12,Paramètres!$A$1:$I$89,3,0)*0.475*44/12</f>
        <v>0</v>
      </c>
      <c r="CM178" s="23">
        <f>EXP(-LN(2)/2)*CM177+(1-EXP(-LN(2)/2))/(LN(2)/2)*CG178*CJ178*VLOOKUP('Données projet'!$B$12,Paramètres!$A$1:$I$89,3,0)*0.475*44/12</f>
        <v>0</v>
      </c>
      <c r="CN178" s="24">
        <f t="shared" si="172"/>
        <v>0</v>
      </c>
      <c r="CO178" s="77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-1.1368683772161603E-13</v>
      </c>
      <c r="CU178" s="18">
        <f>CT178*VLOOKUP('Données projet'!$B$13,Paramètres!$A$1:$I$89,3,0)*VLOOKUP('Données projet'!$B$13,Paramètres!$A$1:$I$89,5,0)</f>
        <v>-1.223725121235475E-13</v>
      </c>
      <c r="CV178" s="14" t="e">
        <f t="shared" si="173"/>
        <v>#NUM!</v>
      </c>
      <c r="CW178" s="22" t="e">
        <f t="shared" si="174"/>
        <v>#NUM!</v>
      </c>
      <c r="CX178" s="60" t="e">
        <f t="shared" si="122"/>
        <v>#NUM!</v>
      </c>
      <c r="CY178" s="60">
        <f ca="1">AVERAGE(OFFSET($CX$3,0,0,'Données projet'!$E$13+1,1))-AVERAGE(OFFSET($H$3,0,0,'Données projet'!$E$13+1,1))</f>
        <v>621.10465023992288</v>
      </c>
      <c r="CZ178" s="60">
        <f t="shared" si="150"/>
        <v>322.81767004794284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>
        <f>EXP(-LN(2)/35)*DF177+(1-EXP(-LN(2)/35))/(LN(2)/35)*DB178*DC178*VLOOKUP('Données projet'!$B$13,Paramètres!$A$1:$I$89,3,0)*0.475*44/12</f>
        <v>0</v>
      </c>
      <c r="DG178" s="23">
        <f>EXP(-LN(2)/25)*DG177+(1-EXP(-LN(2)/25))/(LN(2)/25)*Calculateur!DB178*Calculateur!DD178*VLOOKUP('Données projet'!$B$13,Paramètres!$A$1:$I$89,3,0)*0.475*44/12</f>
        <v>0</v>
      </c>
      <c r="DH178" s="23">
        <f>EXP(-LN(2)/2)*DH177+(1-EXP(-LN(2)/2))/(LN(2)/2)*DB178*DE178*VLOOKUP('Données projet'!$B$13,Paramètres!$A$1:$I$89,3,0)*0.475*44/12</f>
        <v>0</v>
      </c>
      <c r="DI178" s="24">
        <f t="shared" si="175"/>
        <v>0</v>
      </c>
      <c r="DJ178" s="77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-1.1368683772161603E-13</v>
      </c>
      <c r="DP178" s="18">
        <f>DO178*VLOOKUP('Données projet'!$B$14,Paramètres!$A$1:$I$89,3,0)*VLOOKUP('Données projet'!$B$14,Paramètres!$A$1:$I$89,5,0)</f>
        <v>-1.0995790944434703E-13</v>
      </c>
      <c r="DQ178" s="14" t="e">
        <f t="shared" si="176"/>
        <v>#NUM!</v>
      </c>
      <c r="DR178" s="22" t="e">
        <f t="shared" si="177"/>
        <v>#NUM!</v>
      </c>
      <c r="DS178" s="60" t="e">
        <f t="shared" si="125"/>
        <v>#NUM!</v>
      </c>
      <c r="DT178" s="60">
        <f ca="1">AVERAGE(OFFSET($DS$3,0,0,'Données projet'!$E$14+1,1))-AVERAGE(OFFSET($H$3,0,0,'Données projet'!$E$14+1,1))</f>
        <v>562.69380557620775</v>
      </c>
      <c r="DU178" s="60">
        <f t="shared" si="152"/>
        <v>294.45557293177131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>
        <f>EXP(-LN(2)/35)*EA177+(1-EXP(-LN(2)/35))/(LN(2)/35)*DW178*DX178*VLOOKUP('Données projet'!$B$14,Paramètres!$A$1:$I$89,3,0)*0.475*44/12</f>
        <v>0</v>
      </c>
      <c r="EB178" s="23">
        <f>EXP(-LN(2)/25)*EB177+(1-EXP(-LN(2)/25))/(LN(2)/25)*Calculateur!DW178*Calculateur!DY178*VLOOKUP('Données projet'!$B$14,Paramètres!$A$1:$I$89,3,0)*0.475*44/12</f>
        <v>0</v>
      </c>
      <c r="EC178" s="23">
        <f>EXP(-LN(2)/2)*EC177+(1-EXP(-LN(2)/2))/(LN(2)/2)*DW178*DZ178*VLOOKUP('Données projet'!$B$14,Paramètres!$A$1:$I$89,3,0)*0.475*44/12</f>
        <v>0</v>
      </c>
      <c r="ED178" s="24">
        <f t="shared" si="178"/>
        <v>0</v>
      </c>
      <c r="EE178" s="77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1.1368683772161603E-13</v>
      </c>
      <c r="EK178" s="18">
        <f>EJ178*VLOOKUP('Données projet'!$B$15,Paramètres!$A$1:$I$89,3,0)*VLOOKUP('Données projet'!$B$15,Paramètres!$A$1:$I$89,5,0)</f>
        <v>8.8675733422860506E-14</v>
      </c>
      <c r="EL178" s="14">
        <f t="shared" si="179"/>
        <v>1.3509285393066301E-12</v>
      </c>
      <c r="EM178" s="22">
        <f t="shared" si="180"/>
        <v>2.5073107750038623E-12</v>
      </c>
      <c r="EN178" s="60">
        <f t="shared" si="128"/>
        <v>293.33333333333582</v>
      </c>
      <c r="EO178" s="60">
        <f ca="1">AVERAGE(OFFSET($EN$3,0,0,'Données projet'!$E$15+1,1))-AVERAGE(OFFSET($H$3,0,0,'Données projet'!$E$15+1,1))</f>
        <v>292.57482726862594</v>
      </c>
      <c r="EP178" s="60">
        <f t="shared" si="154"/>
        <v>283.48738729114024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>
        <f>EXP(-LN(2)/35)*EV177+(1-EXP(-LN(2)/35))/(LN(2)/35)*ER178*ES178*VLOOKUP('Données projet'!$B$15,Paramètres!$A$1:$I$89,3,0)*0.475*44/12</f>
        <v>0</v>
      </c>
      <c r="EW178" s="23">
        <f>EXP(-LN(2)/25)*EW177+(1-EXP(-LN(2)/25))/(LN(2)/25)*Calculateur!ER178*Calculateur!ET178*VLOOKUP('Données projet'!$B$15,Paramètres!$A$1:$I$89,3,0)*0.475*44/12</f>
        <v>0</v>
      </c>
      <c r="EX178" s="23">
        <f>EXP(-LN(2)/2)*EX177+(1-EXP(-LN(2)/2))/(LN(2)/2)*ER178*EU178*VLOOKUP('Données projet'!$B$15,Paramètres!$A$1:$I$89,3,0)*0.475*44/12</f>
        <v>0</v>
      </c>
      <c r="EY178" s="24">
        <f t="shared" si="181"/>
        <v>0</v>
      </c>
      <c r="EZ178" s="77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0" t="e">
        <f t="shared" si="131"/>
        <v>#N/A</v>
      </c>
      <c r="FJ178" s="60" t="e">
        <f ca="1">AVERAGE(OFFSET($FI$3,0,0,'Données projet'!$E$16+1,1))-AVERAGE(OFFSET($H$3,0,0,'Données projet'!$E$16+1,1))</f>
        <v>#N/A</v>
      </c>
      <c r="FK178" s="60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77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0" t="e">
        <f t="shared" si="134"/>
        <v>#N/A</v>
      </c>
      <c r="GE178" s="60" t="e">
        <f ca="1">AVERAGE(OFFSET($GD$3,0,0,'Données projet'!$E$17+1,1))-AVERAGE(OFFSET($H$3,0,0,'Données projet'!$E$17+1,1))</f>
        <v>#N/A</v>
      </c>
      <c r="GF178" s="60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77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0" t="e">
        <f t="shared" si="137"/>
        <v>#N/A</v>
      </c>
      <c r="GZ178" s="60" t="e">
        <f ca="1">AVERAGE(OFFSET($GY$3,0,0,'Données projet'!$E$18+1,1))-AVERAGE(OFFSET($H$3,0,0,'Données projet'!$E$18+1,1))</f>
        <v>#N/A</v>
      </c>
      <c r="HA178" s="60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25">
      <c r="A179" s="11">
        <f t="shared" si="161"/>
        <v>176</v>
      </c>
      <c r="B179" s="74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2">
        <f t="shared" si="140"/>
        <v>0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0</v>
      </c>
      <c r="H179" s="67">
        <f t="shared" si="110"/>
        <v>256.66666666666669</v>
      </c>
      <c r="I179" s="7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1.1368683772161603E-13</v>
      </c>
      <c r="O179" s="14">
        <f>N179*VLOOKUP('Données projet'!$B$9,Paramètres!$A$1:$I$89,3,0)*VLOOKUP('Données projet'!$B$9,Paramètres!$A$1:$I$89,5,0)</f>
        <v>1.0818439477588981E-13</v>
      </c>
      <c r="P179" s="14">
        <f t="shared" si="141"/>
        <v>1.6104228458716316E-12</v>
      </c>
      <c r="Q179" s="22">
        <f t="shared" si="162"/>
        <v>2.9932409441277661E-12</v>
      </c>
      <c r="R179" s="60">
        <f t="shared" si="109"/>
        <v>293.33333333333633</v>
      </c>
      <c r="S179" s="60">
        <f ca="1">AVERAGE(OFFSET($R$3,0,0,'Données projet'!$E$9+1,1))-AVERAGE(OFFSET($H$3,0,0,'Données projet'!$E$9+1,1))</f>
        <v>403.49781966317852</v>
      </c>
      <c r="T179" s="60">
        <f t="shared" si="142"/>
        <v>326.06674572505409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0</v>
      </c>
      <c r="AA179" s="23">
        <f>EXP(-LN(2)/25)*AA178+(1-EXP(-LN(2)/25))/(LN(2)/25)*Calculateur!V179*Calculateur!X179*VLOOKUP('Données projet'!$B$9,Paramètres!$A$1:$I$89,3,0)*0.475*44/12</f>
        <v>0</v>
      </c>
      <c r="AB179" s="23">
        <f>EXP(-LN(2)/2)*AB178+(1-EXP(-LN(2)/2))/(LN(2)/2)*V179*Y179*VLOOKUP('Données projet'!$B$9,Paramètres!$A$1:$I$89,3,0)*0.475*44/12</f>
        <v>0</v>
      </c>
      <c r="AC179" s="24">
        <f t="shared" si="163"/>
        <v>0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-1.1368683772161603E-13</v>
      </c>
      <c r="AJ179" s="14">
        <f>AI179*VLOOKUP('Données projet'!$B$10,Paramètres!$A$1:$I$89,3,0)*VLOOKUP('Données projet'!$B$10,Paramètres!$A$1:$I$89,5,0)</f>
        <v>-9.9316821433603781E-14</v>
      </c>
      <c r="AK179" s="14" t="e">
        <f t="shared" si="164"/>
        <v>#NUM!</v>
      </c>
      <c r="AL179" s="22" t="e">
        <f t="shared" si="165"/>
        <v>#NUM!</v>
      </c>
      <c r="AM179" s="60" t="e">
        <f t="shared" si="113"/>
        <v>#NUM!</v>
      </c>
      <c r="AN179" s="60">
        <f ca="1">AVERAGE(OFFSET($AM$3,0,0,'Données projet'!$E$10+1,1))-AVERAGE(OFFSET($H$3,0,0,'Données projet'!$E$10+1,1))</f>
        <v>274.66236526869056</v>
      </c>
      <c r="AO179" s="60">
        <f t="shared" si="144"/>
        <v>256.90876395053073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>
        <f>EXP(-LN(2)/35)*AU178+(1-EXP(-LN(2)/35))/(LN(2)/35)*AQ179*AR179*VLOOKUP('Données projet'!$B$10,Paramètres!$A$1:$I$89,3,0)*0.475*44/12</f>
        <v>0</v>
      </c>
      <c r="AV179" s="23">
        <f>EXP(-LN(2)/25)*AV178+(1-EXP(-LN(2)/25))/(LN(2)/25)*Calculateur!AQ179*Calculateur!AS179*VLOOKUP('Données projet'!$B$10,Paramètres!$A$1:$I$89,3,0)*0.475*44/12</f>
        <v>0</v>
      </c>
      <c r="AW179" s="23">
        <f>EXP(-LN(2)/2)*AW178+(1-EXP(-LN(2)/2))/(LN(2)/2)*AQ179*AT179*VLOOKUP('Données projet'!$B$10,Paramètres!$A$1:$I$89,3,0)*0.475*44/12</f>
        <v>0</v>
      </c>
      <c r="AX179" s="23">
        <f t="shared" si="166"/>
        <v>0</v>
      </c>
      <c r="AY179" s="76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-1.1368683772161603E-13</v>
      </c>
      <c r="BE179" s="14">
        <f>BD179*VLOOKUP('Données projet'!$B$11,Paramètres!$A$1:$I$89,3,0)*VLOOKUP('Données projet'!$B$11,Paramètres!$A$1:$I$89,5,0)</f>
        <v>-1.0286385077051818E-13</v>
      </c>
      <c r="BF179" s="14" t="e">
        <f t="shared" si="167"/>
        <v>#NUM!</v>
      </c>
      <c r="BG179" s="22" t="e">
        <f t="shared" si="168"/>
        <v>#NUM!</v>
      </c>
      <c r="BH179" s="60" t="e">
        <f t="shared" si="116"/>
        <v>#NUM!</v>
      </c>
      <c r="BI179" s="60">
        <f ca="1">AVERAGE(OFFSET($BH$3,0,0,'Données projet'!$E$11+1,1))-AVERAGE(OFFSET($H$3,0,0,'Données projet'!$E$11+1,1))</f>
        <v>529.25712986118265</v>
      </c>
      <c r="BJ179" s="60">
        <f t="shared" si="146"/>
        <v>278.21741231699929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>
        <f>EXP(-LN(2)/35)*BP178+(1-EXP(-LN(2)/35))/(LN(2)/35)*BL179*BM179*VLOOKUP('Données projet'!$B$11,Paramètres!$A$1:$I$89,3,0)*0.475*44/12</f>
        <v>0</v>
      </c>
      <c r="BQ179" s="23">
        <f>EXP(-LN(2)/25)*BQ178+(1-EXP(-LN(2)/25))/(LN(2)/25)*Calculateur!BL179*Calculateur!BN179*VLOOKUP('Données projet'!$B$11,Paramètres!$A$1:$I$89,3,0)*0.475*44/12</f>
        <v>0</v>
      </c>
      <c r="BR179" s="23">
        <f>EXP(-LN(2)/2)*BR178+(1-EXP(-LN(2)/2))/(LN(2)/2)*BL179*BO179*VLOOKUP('Données projet'!$B$11,Paramètres!$A$1:$I$89,3,0)*0.475*44/12</f>
        <v>0</v>
      </c>
      <c r="BS179" s="24">
        <f t="shared" si="169"/>
        <v>0</v>
      </c>
      <c r="BT179" s="77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-1.1368683772161603E-13</v>
      </c>
      <c r="BZ179" s="14">
        <f>BY179*VLOOKUP('Données projet'!$B$12,Paramètres!$A$1:$I$89,3,0)*VLOOKUP('Données projet'!$B$12,Paramètres!$A$1:$I$89,5,0)</f>
        <v>-1.1527845344971866E-13</v>
      </c>
      <c r="CA179" s="14" t="e">
        <f t="shared" si="170"/>
        <v>#NUM!</v>
      </c>
      <c r="CB179" s="22" t="e">
        <f t="shared" si="171"/>
        <v>#NUM!</v>
      </c>
      <c r="CC179" s="60" t="e">
        <f t="shared" si="119"/>
        <v>#NUM!</v>
      </c>
      <c r="CD179" s="60">
        <f ca="1">AVERAGE(OFFSET($CC$3,0,0,'Données projet'!$E$12+1,1))-AVERAGE(OFFSET($H$3,0,0,'Données projet'!$E$12+1,1))</f>
        <v>587.74247372331615</v>
      </c>
      <c r="CE179" s="60">
        <f t="shared" si="148"/>
        <v>306.61893266146666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>
        <f>EXP(-LN(2)/35)*CK178+(1-EXP(-LN(2)/35))/(LN(2)/35)*CG179*CH179*VLOOKUP('Données projet'!$B$12,Paramètres!$A$1:$I$89,3,0)*0.475*44/12</f>
        <v>0</v>
      </c>
      <c r="CL179" s="23">
        <f>EXP(-LN(2)/25)*CL178+(1-EXP(-LN(2)/25))/(LN(2)/25)*Calculateur!CG179*Calculateur!CI179*VLOOKUP('Données projet'!$B$12,Paramètres!$A$1:$I$89,3,0)*0.475*44/12</f>
        <v>0</v>
      </c>
      <c r="CM179" s="23">
        <f>EXP(-LN(2)/2)*CM178+(1-EXP(-LN(2)/2))/(LN(2)/2)*CG179*CJ179*VLOOKUP('Données projet'!$B$12,Paramètres!$A$1:$I$89,3,0)*0.475*44/12</f>
        <v>0</v>
      </c>
      <c r="CN179" s="24">
        <f t="shared" si="172"/>
        <v>0</v>
      </c>
      <c r="CO179" s="77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-1.1368683772161603E-13</v>
      </c>
      <c r="CU179" s="18">
        <f>CT179*VLOOKUP('Données projet'!$B$13,Paramètres!$A$1:$I$89,3,0)*VLOOKUP('Données projet'!$B$13,Paramètres!$A$1:$I$89,5,0)</f>
        <v>-1.223725121235475E-13</v>
      </c>
      <c r="CV179" s="14" t="e">
        <f t="shared" si="173"/>
        <v>#NUM!</v>
      </c>
      <c r="CW179" s="22" t="e">
        <f t="shared" si="174"/>
        <v>#NUM!</v>
      </c>
      <c r="CX179" s="60" t="e">
        <f t="shared" si="122"/>
        <v>#NUM!</v>
      </c>
      <c r="CY179" s="60">
        <f ca="1">AVERAGE(OFFSET($CX$3,0,0,'Données projet'!$E$13+1,1))-AVERAGE(OFFSET($H$3,0,0,'Données projet'!$E$13+1,1))</f>
        <v>621.10465023992288</v>
      </c>
      <c r="CZ179" s="60">
        <f t="shared" si="150"/>
        <v>322.81767004794284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>
        <f>EXP(-LN(2)/35)*DF178+(1-EXP(-LN(2)/35))/(LN(2)/35)*DB179*DC179*VLOOKUP('Données projet'!$B$13,Paramètres!$A$1:$I$89,3,0)*0.475*44/12</f>
        <v>0</v>
      </c>
      <c r="DG179" s="23">
        <f>EXP(-LN(2)/25)*DG178+(1-EXP(-LN(2)/25))/(LN(2)/25)*Calculateur!DB179*Calculateur!DD179*VLOOKUP('Données projet'!$B$13,Paramètres!$A$1:$I$89,3,0)*0.475*44/12</f>
        <v>0</v>
      </c>
      <c r="DH179" s="23">
        <f>EXP(-LN(2)/2)*DH178+(1-EXP(-LN(2)/2))/(LN(2)/2)*DB179*DE179*VLOOKUP('Données projet'!$B$13,Paramètres!$A$1:$I$89,3,0)*0.475*44/12</f>
        <v>0</v>
      </c>
      <c r="DI179" s="24">
        <f t="shared" si="175"/>
        <v>0</v>
      </c>
      <c r="DJ179" s="77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-1.1368683772161603E-13</v>
      </c>
      <c r="DP179" s="18">
        <f>DO179*VLOOKUP('Données projet'!$B$14,Paramètres!$A$1:$I$89,3,0)*VLOOKUP('Données projet'!$B$14,Paramètres!$A$1:$I$89,5,0)</f>
        <v>-1.0995790944434703E-13</v>
      </c>
      <c r="DQ179" s="14" t="e">
        <f t="shared" si="176"/>
        <v>#NUM!</v>
      </c>
      <c r="DR179" s="22" t="e">
        <f t="shared" si="177"/>
        <v>#NUM!</v>
      </c>
      <c r="DS179" s="60" t="e">
        <f t="shared" si="125"/>
        <v>#NUM!</v>
      </c>
      <c r="DT179" s="60">
        <f ca="1">AVERAGE(OFFSET($DS$3,0,0,'Données projet'!$E$14+1,1))-AVERAGE(OFFSET($H$3,0,0,'Données projet'!$E$14+1,1))</f>
        <v>562.69380557620775</v>
      </c>
      <c r="DU179" s="60">
        <f t="shared" si="152"/>
        <v>294.45557293177131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>
        <f>EXP(-LN(2)/35)*EA178+(1-EXP(-LN(2)/35))/(LN(2)/35)*DW179*DX179*VLOOKUP('Données projet'!$B$14,Paramètres!$A$1:$I$89,3,0)*0.475*44/12</f>
        <v>0</v>
      </c>
      <c r="EB179" s="23">
        <f>EXP(-LN(2)/25)*EB178+(1-EXP(-LN(2)/25))/(LN(2)/25)*Calculateur!DW179*Calculateur!DY179*VLOOKUP('Données projet'!$B$14,Paramètres!$A$1:$I$89,3,0)*0.475*44/12</f>
        <v>0</v>
      </c>
      <c r="EC179" s="23">
        <f>EXP(-LN(2)/2)*EC178+(1-EXP(-LN(2)/2))/(LN(2)/2)*DW179*DZ179*VLOOKUP('Données projet'!$B$14,Paramètres!$A$1:$I$89,3,0)*0.475*44/12</f>
        <v>0</v>
      </c>
      <c r="ED179" s="24">
        <f t="shared" si="178"/>
        <v>0</v>
      </c>
      <c r="EE179" s="77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1.1368683772161603E-13</v>
      </c>
      <c r="EK179" s="18">
        <f>EJ179*VLOOKUP('Données projet'!$B$15,Paramètres!$A$1:$I$89,3,0)*VLOOKUP('Données projet'!$B$15,Paramètres!$A$1:$I$89,5,0)</f>
        <v>8.8675733422860506E-14</v>
      </c>
      <c r="EL179" s="14">
        <f t="shared" si="179"/>
        <v>1.3509285393066301E-12</v>
      </c>
      <c r="EM179" s="22">
        <f t="shared" si="180"/>
        <v>2.5073107750038623E-12</v>
      </c>
      <c r="EN179" s="60">
        <f t="shared" si="128"/>
        <v>293.33333333333582</v>
      </c>
      <c r="EO179" s="60">
        <f ca="1">AVERAGE(OFFSET($EN$3,0,0,'Données projet'!$E$15+1,1))-AVERAGE(OFFSET($H$3,0,0,'Données projet'!$E$15+1,1))</f>
        <v>292.57482726862594</v>
      </c>
      <c r="EP179" s="60">
        <f t="shared" si="154"/>
        <v>283.48738729114024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>
        <f>EXP(-LN(2)/35)*EV178+(1-EXP(-LN(2)/35))/(LN(2)/35)*ER179*ES179*VLOOKUP('Données projet'!$B$15,Paramètres!$A$1:$I$89,3,0)*0.475*44/12</f>
        <v>0</v>
      </c>
      <c r="EW179" s="23">
        <f>EXP(-LN(2)/25)*EW178+(1-EXP(-LN(2)/25))/(LN(2)/25)*Calculateur!ER179*Calculateur!ET179*VLOOKUP('Données projet'!$B$15,Paramètres!$A$1:$I$89,3,0)*0.475*44/12</f>
        <v>0</v>
      </c>
      <c r="EX179" s="23">
        <f>EXP(-LN(2)/2)*EX178+(1-EXP(-LN(2)/2))/(LN(2)/2)*ER179*EU179*VLOOKUP('Données projet'!$B$15,Paramètres!$A$1:$I$89,3,0)*0.475*44/12</f>
        <v>0</v>
      </c>
      <c r="EY179" s="24">
        <f t="shared" si="181"/>
        <v>0</v>
      </c>
      <c r="EZ179" s="77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0" t="e">
        <f t="shared" si="131"/>
        <v>#N/A</v>
      </c>
      <c r="FJ179" s="60" t="e">
        <f ca="1">AVERAGE(OFFSET($FI$3,0,0,'Données projet'!$E$16+1,1))-AVERAGE(OFFSET($H$3,0,0,'Données projet'!$E$16+1,1))</f>
        <v>#N/A</v>
      </c>
      <c r="FK179" s="60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77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0" t="e">
        <f t="shared" si="134"/>
        <v>#N/A</v>
      </c>
      <c r="GE179" s="60" t="e">
        <f ca="1">AVERAGE(OFFSET($GD$3,0,0,'Données projet'!$E$17+1,1))-AVERAGE(OFFSET($H$3,0,0,'Données projet'!$E$17+1,1))</f>
        <v>#N/A</v>
      </c>
      <c r="GF179" s="60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77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0" t="e">
        <f t="shared" si="137"/>
        <v>#N/A</v>
      </c>
      <c r="GZ179" s="60" t="e">
        <f ca="1">AVERAGE(OFFSET($GY$3,0,0,'Données projet'!$E$18+1,1))-AVERAGE(OFFSET($H$3,0,0,'Données projet'!$E$18+1,1))</f>
        <v>#N/A</v>
      </c>
      <c r="HA179" s="60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25">
      <c r="A180" s="11">
        <f t="shared" si="161"/>
        <v>177</v>
      </c>
      <c r="B180" s="74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2">
        <f t="shared" si="140"/>
        <v>0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0</v>
      </c>
      <c r="H180" s="67">
        <f t="shared" si="110"/>
        <v>256.66666666666669</v>
      </c>
      <c r="I180" s="7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1.1368683772161603E-13</v>
      </c>
      <c r="O180" s="14">
        <f>N180*VLOOKUP('Données projet'!$B$9,Paramètres!$A$1:$I$89,3,0)*VLOOKUP('Données projet'!$B$9,Paramètres!$A$1:$I$89,5,0)</f>
        <v>1.0818439477588981E-13</v>
      </c>
      <c r="P180" s="14">
        <f t="shared" si="141"/>
        <v>1.6104228458716316E-12</v>
      </c>
      <c r="Q180" s="22">
        <f t="shared" si="162"/>
        <v>2.9932409441277661E-12</v>
      </c>
      <c r="R180" s="60">
        <f t="shared" si="109"/>
        <v>293.33333333333633</v>
      </c>
      <c r="S180" s="60">
        <f ca="1">AVERAGE(OFFSET($R$3,0,0,'Données projet'!$E$9+1,1))-AVERAGE(OFFSET($H$3,0,0,'Données projet'!$E$9+1,1))</f>
        <v>403.49781966317852</v>
      </c>
      <c r="T180" s="60">
        <f t="shared" si="142"/>
        <v>326.06674572505409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0</v>
      </c>
      <c r="AA180" s="23">
        <f>EXP(-LN(2)/25)*AA179+(1-EXP(-LN(2)/25))/(LN(2)/25)*Calculateur!V180*Calculateur!X180*VLOOKUP('Données projet'!$B$9,Paramètres!$A$1:$I$89,3,0)*0.475*44/12</f>
        <v>0</v>
      </c>
      <c r="AB180" s="23">
        <f>EXP(-LN(2)/2)*AB179+(1-EXP(-LN(2)/2))/(LN(2)/2)*V180*Y180*VLOOKUP('Données projet'!$B$9,Paramètres!$A$1:$I$89,3,0)*0.475*44/12</f>
        <v>0</v>
      </c>
      <c r="AC180" s="24">
        <f t="shared" si="163"/>
        <v>0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-1.1368683772161603E-13</v>
      </c>
      <c r="AJ180" s="14">
        <f>AI180*VLOOKUP('Données projet'!$B$10,Paramètres!$A$1:$I$89,3,0)*VLOOKUP('Données projet'!$B$10,Paramètres!$A$1:$I$89,5,0)</f>
        <v>-9.9316821433603781E-14</v>
      </c>
      <c r="AK180" s="14" t="e">
        <f t="shared" si="164"/>
        <v>#NUM!</v>
      </c>
      <c r="AL180" s="22" t="e">
        <f t="shared" si="165"/>
        <v>#NUM!</v>
      </c>
      <c r="AM180" s="60" t="e">
        <f t="shared" si="113"/>
        <v>#NUM!</v>
      </c>
      <c r="AN180" s="60">
        <f ca="1">AVERAGE(OFFSET($AM$3,0,0,'Données projet'!$E$10+1,1))-AVERAGE(OFFSET($H$3,0,0,'Données projet'!$E$10+1,1))</f>
        <v>274.66236526869056</v>
      </c>
      <c r="AO180" s="60">
        <f t="shared" si="144"/>
        <v>256.90876395053073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>
        <f>EXP(-LN(2)/35)*AU179+(1-EXP(-LN(2)/35))/(LN(2)/35)*AQ180*AR180*VLOOKUP('Données projet'!$B$10,Paramètres!$A$1:$I$89,3,0)*0.475*44/12</f>
        <v>0</v>
      </c>
      <c r="AV180" s="23">
        <f>EXP(-LN(2)/25)*AV179+(1-EXP(-LN(2)/25))/(LN(2)/25)*Calculateur!AQ180*Calculateur!AS180*VLOOKUP('Données projet'!$B$10,Paramètres!$A$1:$I$89,3,0)*0.475*44/12</f>
        <v>0</v>
      </c>
      <c r="AW180" s="23">
        <f>EXP(-LN(2)/2)*AW179+(1-EXP(-LN(2)/2))/(LN(2)/2)*AQ180*AT180*VLOOKUP('Données projet'!$B$10,Paramètres!$A$1:$I$89,3,0)*0.475*44/12</f>
        <v>0</v>
      </c>
      <c r="AX180" s="23">
        <f t="shared" si="166"/>
        <v>0</v>
      </c>
      <c r="AY180" s="76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-1.1368683772161603E-13</v>
      </c>
      <c r="BE180" s="14">
        <f>BD180*VLOOKUP('Données projet'!$B$11,Paramètres!$A$1:$I$89,3,0)*VLOOKUP('Données projet'!$B$11,Paramètres!$A$1:$I$89,5,0)</f>
        <v>-1.0286385077051818E-13</v>
      </c>
      <c r="BF180" s="14" t="e">
        <f t="shared" si="167"/>
        <v>#NUM!</v>
      </c>
      <c r="BG180" s="22" t="e">
        <f t="shared" si="168"/>
        <v>#NUM!</v>
      </c>
      <c r="BH180" s="60" t="e">
        <f t="shared" si="116"/>
        <v>#NUM!</v>
      </c>
      <c r="BI180" s="60">
        <f ca="1">AVERAGE(OFFSET($BH$3,0,0,'Données projet'!$E$11+1,1))-AVERAGE(OFFSET($H$3,0,0,'Données projet'!$E$11+1,1))</f>
        <v>529.25712986118265</v>
      </c>
      <c r="BJ180" s="60">
        <f t="shared" si="146"/>
        <v>278.21741231699929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>
        <f>EXP(-LN(2)/35)*BP179+(1-EXP(-LN(2)/35))/(LN(2)/35)*BL180*BM180*VLOOKUP('Données projet'!$B$11,Paramètres!$A$1:$I$89,3,0)*0.475*44/12</f>
        <v>0</v>
      </c>
      <c r="BQ180" s="23">
        <f>EXP(-LN(2)/25)*BQ179+(1-EXP(-LN(2)/25))/(LN(2)/25)*Calculateur!BL180*Calculateur!BN180*VLOOKUP('Données projet'!$B$11,Paramètres!$A$1:$I$89,3,0)*0.475*44/12</f>
        <v>0</v>
      </c>
      <c r="BR180" s="23">
        <f>EXP(-LN(2)/2)*BR179+(1-EXP(-LN(2)/2))/(LN(2)/2)*BL180*BO180*VLOOKUP('Données projet'!$B$11,Paramètres!$A$1:$I$89,3,0)*0.475*44/12</f>
        <v>0</v>
      </c>
      <c r="BS180" s="24">
        <f t="shared" si="169"/>
        <v>0</v>
      </c>
      <c r="BT180" s="77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-1.1368683772161603E-13</v>
      </c>
      <c r="BZ180" s="14">
        <f>BY180*VLOOKUP('Données projet'!$B$12,Paramètres!$A$1:$I$89,3,0)*VLOOKUP('Données projet'!$B$12,Paramètres!$A$1:$I$89,5,0)</f>
        <v>-1.1527845344971866E-13</v>
      </c>
      <c r="CA180" s="14" t="e">
        <f t="shared" si="170"/>
        <v>#NUM!</v>
      </c>
      <c r="CB180" s="22" t="e">
        <f t="shared" si="171"/>
        <v>#NUM!</v>
      </c>
      <c r="CC180" s="60" t="e">
        <f t="shared" si="119"/>
        <v>#NUM!</v>
      </c>
      <c r="CD180" s="60">
        <f ca="1">AVERAGE(OFFSET($CC$3,0,0,'Données projet'!$E$12+1,1))-AVERAGE(OFFSET($H$3,0,0,'Données projet'!$E$12+1,1))</f>
        <v>587.74247372331615</v>
      </c>
      <c r="CE180" s="60">
        <f t="shared" si="148"/>
        <v>306.61893266146666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>
        <f>EXP(-LN(2)/35)*CK179+(1-EXP(-LN(2)/35))/(LN(2)/35)*CG180*CH180*VLOOKUP('Données projet'!$B$12,Paramètres!$A$1:$I$89,3,0)*0.475*44/12</f>
        <v>0</v>
      </c>
      <c r="CL180" s="23">
        <f>EXP(-LN(2)/25)*CL179+(1-EXP(-LN(2)/25))/(LN(2)/25)*Calculateur!CG180*Calculateur!CI180*VLOOKUP('Données projet'!$B$12,Paramètres!$A$1:$I$89,3,0)*0.475*44/12</f>
        <v>0</v>
      </c>
      <c r="CM180" s="23">
        <f>EXP(-LN(2)/2)*CM179+(1-EXP(-LN(2)/2))/(LN(2)/2)*CG180*CJ180*VLOOKUP('Données projet'!$B$12,Paramètres!$A$1:$I$89,3,0)*0.475*44/12</f>
        <v>0</v>
      </c>
      <c r="CN180" s="24">
        <f t="shared" si="172"/>
        <v>0</v>
      </c>
      <c r="CO180" s="77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-1.1368683772161603E-13</v>
      </c>
      <c r="CU180" s="18">
        <f>CT180*VLOOKUP('Données projet'!$B$13,Paramètres!$A$1:$I$89,3,0)*VLOOKUP('Données projet'!$B$13,Paramètres!$A$1:$I$89,5,0)</f>
        <v>-1.223725121235475E-13</v>
      </c>
      <c r="CV180" s="14" t="e">
        <f t="shared" si="173"/>
        <v>#NUM!</v>
      </c>
      <c r="CW180" s="22" t="e">
        <f t="shared" si="174"/>
        <v>#NUM!</v>
      </c>
      <c r="CX180" s="60" t="e">
        <f t="shared" si="122"/>
        <v>#NUM!</v>
      </c>
      <c r="CY180" s="60">
        <f ca="1">AVERAGE(OFFSET($CX$3,0,0,'Données projet'!$E$13+1,1))-AVERAGE(OFFSET($H$3,0,0,'Données projet'!$E$13+1,1))</f>
        <v>621.10465023992288</v>
      </c>
      <c r="CZ180" s="60">
        <f t="shared" si="150"/>
        <v>322.81767004794284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>
        <f>EXP(-LN(2)/35)*DF179+(1-EXP(-LN(2)/35))/(LN(2)/35)*DB180*DC180*VLOOKUP('Données projet'!$B$13,Paramètres!$A$1:$I$89,3,0)*0.475*44/12</f>
        <v>0</v>
      </c>
      <c r="DG180" s="23">
        <f>EXP(-LN(2)/25)*DG179+(1-EXP(-LN(2)/25))/(LN(2)/25)*Calculateur!DB180*Calculateur!DD180*VLOOKUP('Données projet'!$B$13,Paramètres!$A$1:$I$89,3,0)*0.475*44/12</f>
        <v>0</v>
      </c>
      <c r="DH180" s="23">
        <f>EXP(-LN(2)/2)*DH179+(1-EXP(-LN(2)/2))/(LN(2)/2)*DB180*DE180*VLOOKUP('Données projet'!$B$13,Paramètres!$A$1:$I$89,3,0)*0.475*44/12</f>
        <v>0</v>
      </c>
      <c r="DI180" s="24">
        <f t="shared" si="175"/>
        <v>0</v>
      </c>
      <c r="DJ180" s="77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-1.1368683772161603E-13</v>
      </c>
      <c r="DP180" s="18">
        <f>DO180*VLOOKUP('Données projet'!$B$14,Paramètres!$A$1:$I$89,3,0)*VLOOKUP('Données projet'!$B$14,Paramètres!$A$1:$I$89,5,0)</f>
        <v>-1.0995790944434703E-13</v>
      </c>
      <c r="DQ180" s="14" t="e">
        <f t="shared" si="176"/>
        <v>#NUM!</v>
      </c>
      <c r="DR180" s="22" t="e">
        <f t="shared" si="177"/>
        <v>#NUM!</v>
      </c>
      <c r="DS180" s="60" t="e">
        <f t="shared" si="125"/>
        <v>#NUM!</v>
      </c>
      <c r="DT180" s="60">
        <f ca="1">AVERAGE(OFFSET($DS$3,0,0,'Données projet'!$E$14+1,1))-AVERAGE(OFFSET($H$3,0,0,'Données projet'!$E$14+1,1))</f>
        <v>562.69380557620775</v>
      </c>
      <c r="DU180" s="60">
        <f t="shared" si="152"/>
        <v>294.45557293177131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>
        <f>EXP(-LN(2)/35)*EA179+(1-EXP(-LN(2)/35))/(LN(2)/35)*DW180*DX180*VLOOKUP('Données projet'!$B$14,Paramètres!$A$1:$I$89,3,0)*0.475*44/12</f>
        <v>0</v>
      </c>
      <c r="EB180" s="23">
        <f>EXP(-LN(2)/25)*EB179+(1-EXP(-LN(2)/25))/(LN(2)/25)*Calculateur!DW180*Calculateur!DY180*VLOOKUP('Données projet'!$B$14,Paramètres!$A$1:$I$89,3,0)*0.475*44/12</f>
        <v>0</v>
      </c>
      <c r="EC180" s="23">
        <f>EXP(-LN(2)/2)*EC179+(1-EXP(-LN(2)/2))/(LN(2)/2)*DW180*DZ180*VLOOKUP('Données projet'!$B$14,Paramètres!$A$1:$I$89,3,0)*0.475*44/12</f>
        <v>0</v>
      </c>
      <c r="ED180" s="24">
        <f t="shared" si="178"/>
        <v>0</v>
      </c>
      <c r="EE180" s="77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1.1368683772161603E-13</v>
      </c>
      <c r="EK180" s="18">
        <f>EJ180*VLOOKUP('Données projet'!$B$15,Paramètres!$A$1:$I$89,3,0)*VLOOKUP('Données projet'!$B$15,Paramètres!$A$1:$I$89,5,0)</f>
        <v>8.8675733422860506E-14</v>
      </c>
      <c r="EL180" s="14">
        <f t="shared" si="179"/>
        <v>1.3509285393066301E-12</v>
      </c>
      <c r="EM180" s="22">
        <f t="shared" si="180"/>
        <v>2.5073107750038623E-12</v>
      </c>
      <c r="EN180" s="60">
        <f t="shared" si="128"/>
        <v>293.33333333333582</v>
      </c>
      <c r="EO180" s="60">
        <f ca="1">AVERAGE(OFFSET($EN$3,0,0,'Données projet'!$E$15+1,1))-AVERAGE(OFFSET($H$3,0,0,'Données projet'!$E$15+1,1))</f>
        <v>292.57482726862594</v>
      </c>
      <c r="EP180" s="60">
        <f t="shared" si="154"/>
        <v>283.48738729114024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>
        <f>EXP(-LN(2)/35)*EV179+(1-EXP(-LN(2)/35))/(LN(2)/35)*ER180*ES180*VLOOKUP('Données projet'!$B$15,Paramètres!$A$1:$I$89,3,0)*0.475*44/12</f>
        <v>0</v>
      </c>
      <c r="EW180" s="23">
        <f>EXP(-LN(2)/25)*EW179+(1-EXP(-LN(2)/25))/(LN(2)/25)*Calculateur!ER180*Calculateur!ET180*VLOOKUP('Données projet'!$B$15,Paramètres!$A$1:$I$89,3,0)*0.475*44/12</f>
        <v>0</v>
      </c>
      <c r="EX180" s="23">
        <f>EXP(-LN(2)/2)*EX179+(1-EXP(-LN(2)/2))/(LN(2)/2)*ER180*EU180*VLOOKUP('Données projet'!$B$15,Paramètres!$A$1:$I$89,3,0)*0.475*44/12</f>
        <v>0</v>
      </c>
      <c r="EY180" s="24">
        <f t="shared" si="181"/>
        <v>0</v>
      </c>
      <c r="EZ180" s="77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0" t="e">
        <f t="shared" si="131"/>
        <v>#N/A</v>
      </c>
      <c r="FJ180" s="60" t="e">
        <f ca="1">AVERAGE(OFFSET($FI$3,0,0,'Données projet'!$E$16+1,1))-AVERAGE(OFFSET($H$3,0,0,'Données projet'!$E$16+1,1))</f>
        <v>#N/A</v>
      </c>
      <c r="FK180" s="60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77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0" t="e">
        <f t="shared" si="134"/>
        <v>#N/A</v>
      </c>
      <c r="GE180" s="60" t="e">
        <f ca="1">AVERAGE(OFFSET($GD$3,0,0,'Données projet'!$E$17+1,1))-AVERAGE(OFFSET($H$3,0,0,'Données projet'!$E$17+1,1))</f>
        <v>#N/A</v>
      </c>
      <c r="GF180" s="60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77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0" t="e">
        <f t="shared" si="137"/>
        <v>#N/A</v>
      </c>
      <c r="GZ180" s="60" t="e">
        <f ca="1">AVERAGE(OFFSET($GY$3,0,0,'Données projet'!$E$18+1,1))-AVERAGE(OFFSET($H$3,0,0,'Données projet'!$E$18+1,1))</f>
        <v>#N/A</v>
      </c>
      <c r="HA180" s="60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25">
      <c r="A181" s="11">
        <f t="shared" si="161"/>
        <v>178</v>
      </c>
      <c r="B181" s="74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2">
        <f t="shared" si="140"/>
        <v>0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0</v>
      </c>
      <c r="H181" s="67">
        <f t="shared" si="110"/>
        <v>256.66666666666669</v>
      </c>
      <c r="I181" s="7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1.1368683772161603E-13</v>
      </c>
      <c r="O181" s="14">
        <f>N181*VLOOKUP('Données projet'!$B$9,Paramètres!$A$1:$I$89,3,0)*VLOOKUP('Données projet'!$B$9,Paramètres!$A$1:$I$89,5,0)</f>
        <v>1.0818439477588981E-13</v>
      </c>
      <c r="P181" s="14">
        <f t="shared" si="141"/>
        <v>1.6104228458716316E-12</v>
      </c>
      <c r="Q181" s="22">
        <f t="shared" si="162"/>
        <v>2.9932409441277661E-12</v>
      </c>
      <c r="R181" s="60">
        <f t="shared" si="109"/>
        <v>293.33333333333633</v>
      </c>
      <c r="S181" s="60">
        <f ca="1">AVERAGE(OFFSET($R$3,0,0,'Données projet'!$E$9+1,1))-AVERAGE(OFFSET($H$3,0,0,'Données projet'!$E$9+1,1))</f>
        <v>403.49781966317852</v>
      </c>
      <c r="T181" s="60">
        <f t="shared" si="142"/>
        <v>326.06674572505409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0</v>
      </c>
      <c r="AA181" s="23">
        <f>EXP(-LN(2)/25)*AA180+(1-EXP(-LN(2)/25))/(LN(2)/25)*Calculateur!V181*Calculateur!X181*VLOOKUP('Données projet'!$B$9,Paramètres!$A$1:$I$89,3,0)*0.475*44/12</f>
        <v>0</v>
      </c>
      <c r="AB181" s="23">
        <f>EXP(-LN(2)/2)*AB180+(1-EXP(-LN(2)/2))/(LN(2)/2)*V181*Y181*VLOOKUP('Données projet'!$B$9,Paramètres!$A$1:$I$89,3,0)*0.475*44/12</f>
        <v>0</v>
      </c>
      <c r="AC181" s="24">
        <f t="shared" si="163"/>
        <v>0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-1.1368683772161603E-13</v>
      </c>
      <c r="AJ181" s="14">
        <f>AI181*VLOOKUP('Données projet'!$B$10,Paramètres!$A$1:$I$89,3,0)*VLOOKUP('Données projet'!$B$10,Paramètres!$A$1:$I$89,5,0)</f>
        <v>-9.9316821433603781E-14</v>
      </c>
      <c r="AK181" s="14" t="e">
        <f t="shared" si="164"/>
        <v>#NUM!</v>
      </c>
      <c r="AL181" s="22" t="e">
        <f t="shared" si="165"/>
        <v>#NUM!</v>
      </c>
      <c r="AM181" s="60" t="e">
        <f t="shared" si="113"/>
        <v>#NUM!</v>
      </c>
      <c r="AN181" s="60">
        <f ca="1">AVERAGE(OFFSET($AM$3,0,0,'Données projet'!$E$10+1,1))-AVERAGE(OFFSET($H$3,0,0,'Données projet'!$E$10+1,1))</f>
        <v>274.66236526869056</v>
      </c>
      <c r="AO181" s="60">
        <f t="shared" si="144"/>
        <v>256.90876395053073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>
        <f>EXP(-LN(2)/35)*AU180+(1-EXP(-LN(2)/35))/(LN(2)/35)*AQ181*AR181*VLOOKUP('Données projet'!$B$10,Paramètres!$A$1:$I$89,3,0)*0.475*44/12</f>
        <v>0</v>
      </c>
      <c r="AV181" s="23">
        <f>EXP(-LN(2)/25)*AV180+(1-EXP(-LN(2)/25))/(LN(2)/25)*Calculateur!AQ181*Calculateur!AS181*VLOOKUP('Données projet'!$B$10,Paramètres!$A$1:$I$89,3,0)*0.475*44/12</f>
        <v>0</v>
      </c>
      <c r="AW181" s="23">
        <f>EXP(-LN(2)/2)*AW180+(1-EXP(-LN(2)/2))/(LN(2)/2)*AQ181*AT181*VLOOKUP('Données projet'!$B$10,Paramètres!$A$1:$I$89,3,0)*0.475*44/12</f>
        <v>0</v>
      </c>
      <c r="AX181" s="23">
        <f t="shared" si="166"/>
        <v>0</v>
      </c>
      <c r="AY181" s="76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-1.1368683772161603E-13</v>
      </c>
      <c r="BE181" s="14">
        <f>BD181*VLOOKUP('Données projet'!$B$11,Paramètres!$A$1:$I$89,3,0)*VLOOKUP('Données projet'!$B$11,Paramètres!$A$1:$I$89,5,0)</f>
        <v>-1.0286385077051818E-13</v>
      </c>
      <c r="BF181" s="14" t="e">
        <f t="shared" si="167"/>
        <v>#NUM!</v>
      </c>
      <c r="BG181" s="22" t="e">
        <f t="shared" si="168"/>
        <v>#NUM!</v>
      </c>
      <c r="BH181" s="60" t="e">
        <f t="shared" si="116"/>
        <v>#NUM!</v>
      </c>
      <c r="BI181" s="60">
        <f ca="1">AVERAGE(OFFSET($BH$3,0,0,'Données projet'!$E$11+1,1))-AVERAGE(OFFSET($H$3,0,0,'Données projet'!$E$11+1,1))</f>
        <v>529.25712986118265</v>
      </c>
      <c r="BJ181" s="60">
        <f t="shared" si="146"/>
        <v>278.21741231699929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>
        <f>EXP(-LN(2)/35)*BP180+(1-EXP(-LN(2)/35))/(LN(2)/35)*BL181*BM181*VLOOKUP('Données projet'!$B$11,Paramètres!$A$1:$I$89,3,0)*0.475*44/12</f>
        <v>0</v>
      </c>
      <c r="BQ181" s="23">
        <f>EXP(-LN(2)/25)*BQ180+(1-EXP(-LN(2)/25))/(LN(2)/25)*Calculateur!BL181*Calculateur!BN181*VLOOKUP('Données projet'!$B$11,Paramètres!$A$1:$I$89,3,0)*0.475*44/12</f>
        <v>0</v>
      </c>
      <c r="BR181" s="23">
        <f>EXP(-LN(2)/2)*BR180+(1-EXP(-LN(2)/2))/(LN(2)/2)*BL181*BO181*VLOOKUP('Données projet'!$B$11,Paramètres!$A$1:$I$89,3,0)*0.475*44/12</f>
        <v>0</v>
      </c>
      <c r="BS181" s="24">
        <f t="shared" si="169"/>
        <v>0</v>
      </c>
      <c r="BT181" s="77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-1.1368683772161603E-13</v>
      </c>
      <c r="BZ181" s="14">
        <f>BY181*VLOOKUP('Données projet'!$B$12,Paramètres!$A$1:$I$89,3,0)*VLOOKUP('Données projet'!$B$12,Paramètres!$A$1:$I$89,5,0)</f>
        <v>-1.1527845344971866E-13</v>
      </c>
      <c r="CA181" s="14" t="e">
        <f t="shared" si="170"/>
        <v>#NUM!</v>
      </c>
      <c r="CB181" s="22" t="e">
        <f t="shared" si="171"/>
        <v>#NUM!</v>
      </c>
      <c r="CC181" s="60" t="e">
        <f t="shared" si="119"/>
        <v>#NUM!</v>
      </c>
      <c r="CD181" s="60">
        <f ca="1">AVERAGE(OFFSET($CC$3,0,0,'Données projet'!$E$12+1,1))-AVERAGE(OFFSET($H$3,0,0,'Données projet'!$E$12+1,1))</f>
        <v>587.74247372331615</v>
      </c>
      <c r="CE181" s="60">
        <f t="shared" si="148"/>
        <v>306.61893266146666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>
        <f>EXP(-LN(2)/35)*CK180+(1-EXP(-LN(2)/35))/(LN(2)/35)*CG181*CH181*VLOOKUP('Données projet'!$B$12,Paramètres!$A$1:$I$89,3,0)*0.475*44/12</f>
        <v>0</v>
      </c>
      <c r="CL181" s="23">
        <f>EXP(-LN(2)/25)*CL180+(1-EXP(-LN(2)/25))/(LN(2)/25)*Calculateur!CG181*Calculateur!CI181*VLOOKUP('Données projet'!$B$12,Paramètres!$A$1:$I$89,3,0)*0.475*44/12</f>
        <v>0</v>
      </c>
      <c r="CM181" s="23">
        <f>EXP(-LN(2)/2)*CM180+(1-EXP(-LN(2)/2))/(LN(2)/2)*CG181*CJ181*VLOOKUP('Données projet'!$B$12,Paramètres!$A$1:$I$89,3,0)*0.475*44/12</f>
        <v>0</v>
      </c>
      <c r="CN181" s="24">
        <f t="shared" si="172"/>
        <v>0</v>
      </c>
      <c r="CO181" s="77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-1.1368683772161603E-13</v>
      </c>
      <c r="CU181" s="18">
        <f>CT181*VLOOKUP('Données projet'!$B$13,Paramètres!$A$1:$I$89,3,0)*VLOOKUP('Données projet'!$B$13,Paramètres!$A$1:$I$89,5,0)</f>
        <v>-1.223725121235475E-13</v>
      </c>
      <c r="CV181" s="14" t="e">
        <f t="shared" si="173"/>
        <v>#NUM!</v>
      </c>
      <c r="CW181" s="22" t="e">
        <f t="shared" si="174"/>
        <v>#NUM!</v>
      </c>
      <c r="CX181" s="60" t="e">
        <f t="shared" si="122"/>
        <v>#NUM!</v>
      </c>
      <c r="CY181" s="60">
        <f ca="1">AVERAGE(OFFSET($CX$3,0,0,'Données projet'!$E$13+1,1))-AVERAGE(OFFSET($H$3,0,0,'Données projet'!$E$13+1,1))</f>
        <v>621.10465023992288</v>
      </c>
      <c r="CZ181" s="60">
        <f t="shared" si="150"/>
        <v>322.81767004794284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>
        <f>EXP(-LN(2)/35)*DF180+(1-EXP(-LN(2)/35))/(LN(2)/35)*DB181*DC181*VLOOKUP('Données projet'!$B$13,Paramètres!$A$1:$I$89,3,0)*0.475*44/12</f>
        <v>0</v>
      </c>
      <c r="DG181" s="23">
        <f>EXP(-LN(2)/25)*DG180+(1-EXP(-LN(2)/25))/(LN(2)/25)*Calculateur!DB181*Calculateur!DD181*VLOOKUP('Données projet'!$B$13,Paramètres!$A$1:$I$89,3,0)*0.475*44/12</f>
        <v>0</v>
      </c>
      <c r="DH181" s="23">
        <f>EXP(-LN(2)/2)*DH180+(1-EXP(-LN(2)/2))/(LN(2)/2)*DB181*DE181*VLOOKUP('Données projet'!$B$13,Paramètres!$A$1:$I$89,3,0)*0.475*44/12</f>
        <v>0</v>
      </c>
      <c r="DI181" s="24">
        <f t="shared" si="175"/>
        <v>0</v>
      </c>
      <c r="DJ181" s="77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-1.1368683772161603E-13</v>
      </c>
      <c r="DP181" s="18">
        <f>DO181*VLOOKUP('Données projet'!$B$14,Paramètres!$A$1:$I$89,3,0)*VLOOKUP('Données projet'!$B$14,Paramètres!$A$1:$I$89,5,0)</f>
        <v>-1.0995790944434703E-13</v>
      </c>
      <c r="DQ181" s="14" t="e">
        <f t="shared" si="176"/>
        <v>#NUM!</v>
      </c>
      <c r="DR181" s="22" t="e">
        <f t="shared" si="177"/>
        <v>#NUM!</v>
      </c>
      <c r="DS181" s="60" t="e">
        <f t="shared" si="125"/>
        <v>#NUM!</v>
      </c>
      <c r="DT181" s="60">
        <f ca="1">AVERAGE(OFFSET($DS$3,0,0,'Données projet'!$E$14+1,1))-AVERAGE(OFFSET($H$3,0,0,'Données projet'!$E$14+1,1))</f>
        <v>562.69380557620775</v>
      </c>
      <c r="DU181" s="60">
        <f t="shared" si="152"/>
        <v>294.45557293177131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>
        <f>EXP(-LN(2)/35)*EA180+(1-EXP(-LN(2)/35))/(LN(2)/35)*DW181*DX181*VLOOKUP('Données projet'!$B$14,Paramètres!$A$1:$I$89,3,0)*0.475*44/12</f>
        <v>0</v>
      </c>
      <c r="EB181" s="23">
        <f>EXP(-LN(2)/25)*EB180+(1-EXP(-LN(2)/25))/(LN(2)/25)*Calculateur!DW181*Calculateur!DY181*VLOOKUP('Données projet'!$B$14,Paramètres!$A$1:$I$89,3,0)*0.475*44/12</f>
        <v>0</v>
      </c>
      <c r="EC181" s="23">
        <f>EXP(-LN(2)/2)*EC180+(1-EXP(-LN(2)/2))/(LN(2)/2)*DW181*DZ181*VLOOKUP('Données projet'!$B$14,Paramètres!$A$1:$I$89,3,0)*0.475*44/12</f>
        <v>0</v>
      </c>
      <c r="ED181" s="24">
        <f t="shared" si="178"/>
        <v>0</v>
      </c>
      <c r="EE181" s="77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1.1368683772161603E-13</v>
      </c>
      <c r="EK181" s="18">
        <f>EJ181*VLOOKUP('Données projet'!$B$15,Paramètres!$A$1:$I$89,3,0)*VLOOKUP('Données projet'!$B$15,Paramètres!$A$1:$I$89,5,0)</f>
        <v>8.8675733422860506E-14</v>
      </c>
      <c r="EL181" s="14">
        <f t="shared" si="179"/>
        <v>1.3509285393066301E-12</v>
      </c>
      <c r="EM181" s="22">
        <f t="shared" si="180"/>
        <v>2.5073107750038623E-12</v>
      </c>
      <c r="EN181" s="60">
        <f t="shared" si="128"/>
        <v>293.33333333333582</v>
      </c>
      <c r="EO181" s="60">
        <f ca="1">AVERAGE(OFFSET($EN$3,0,0,'Données projet'!$E$15+1,1))-AVERAGE(OFFSET($H$3,0,0,'Données projet'!$E$15+1,1))</f>
        <v>292.57482726862594</v>
      </c>
      <c r="EP181" s="60">
        <f t="shared" si="154"/>
        <v>283.48738729114024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>
        <f>EXP(-LN(2)/35)*EV180+(1-EXP(-LN(2)/35))/(LN(2)/35)*ER181*ES181*VLOOKUP('Données projet'!$B$15,Paramètres!$A$1:$I$89,3,0)*0.475*44/12</f>
        <v>0</v>
      </c>
      <c r="EW181" s="23">
        <f>EXP(-LN(2)/25)*EW180+(1-EXP(-LN(2)/25))/(LN(2)/25)*Calculateur!ER181*Calculateur!ET181*VLOOKUP('Données projet'!$B$15,Paramètres!$A$1:$I$89,3,0)*0.475*44/12</f>
        <v>0</v>
      </c>
      <c r="EX181" s="23">
        <f>EXP(-LN(2)/2)*EX180+(1-EXP(-LN(2)/2))/(LN(2)/2)*ER181*EU181*VLOOKUP('Données projet'!$B$15,Paramètres!$A$1:$I$89,3,0)*0.475*44/12</f>
        <v>0</v>
      </c>
      <c r="EY181" s="24">
        <f t="shared" si="181"/>
        <v>0</v>
      </c>
      <c r="EZ181" s="77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0" t="e">
        <f t="shared" si="131"/>
        <v>#N/A</v>
      </c>
      <c r="FJ181" s="60" t="e">
        <f ca="1">AVERAGE(OFFSET($FI$3,0,0,'Données projet'!$E$16+1,1))-AVERAGE(OFFSET($H$3,0,0,'Données projet'!$E$16+1,1))</f>
        <v>#N/A</v>
      </c>
      <c r="FK181" s="60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77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0" t="e">
        <f t="shared" si="134"/>
        <v>#N/A</v>
      </c>
      <c r="GE181" s="60" t="e">
        <f ca="1">AVERAGE(OFFSET($GD$3,0,0,'Données projet'!$E$17+1,1))-AVERAGE(OFFSET($H$3,0,0,'Données projet'!$E$17+1,1))</f>
        <v>#N/A</v>
      </c>
      <c r="GF181" s="60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77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0" t="e">
        <f t="shared" si="137"/>
        <v>#N/A</v>
      </c>
      <c r="GZ181" s="60" t="e">
        <f ca="1">AVERAGE(OFFSET($GY$3,0,0,'Données projet'!$E$18+1,1))-AVERAGE(OFFSET($H$3,0,0,'Données projet'!$E$18+1,1))</f>
        <v>#N/A</v>
      </c>
      <c r="HA181" s="60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25">
      <c r="A182" s="11">
        <f t="shared" si="161"/>
        <v>179</v>
      </c>
      <c r="B182" s="74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2">
        <f t="shared" si="140"/>
        <v>0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0</v>
      </c>
      <c r="H182" s="67">
        <f t="shared" si="110"/>
        <v>256.66666666666669</v>
      </c>
      <c r="I182" s="7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1.1368683772161603E-13</v>
      </c>
      <c r="O182" s="14">
        <f>N182*VLOOKUP('Données projet'!$B$9,Paramètres!$A$1:$I$89,3,0)*VLOOKUP('Données projet'!$B$9,Paramètres!$A$1:$I$89,5,0)</f>
        <v>1.0818439477588981E-13</v>
      </c>
      <c r="P182" s="14">
        <f t="shared" si="141"/>
        <v>1.6104228458716316E-12</v>
      </c>
      <c r="Q182" s="22">
        <f t="shared" si="162"/>
        <v>2.9932409441277661E-12</v>
      </c>
      <c r="R182" s="60">
        <f t="shared" si="109"/>
        <v>293.33333333333633</v>
      </c>
      <c r="S182" s="60">
        <f ca="1">AVERAGE(OFFSET($R$3,0,0,'Données projet'!$E$9+1,1))-AVERAGE(OFFSET($H$3,0,0,'Données projet'!$E$9+1,1))</f>
        <v>403.49781966317852</v>
      </c>
      <c r="T182" s="60">
        <f t="shared" si="142"/>
        <v>326.06674572505409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0</v>
      </c>
      <c r="AA182" s="23">
        <f>EXP(-LN(2)/25)*AA181+(1-EXP(-LN(2)/25))/(LN(2)/25)*Calculateur!V182*Calculateur!X182*VLOOKUP('Données projet'!$B$9,Paramètres!$A$1:$I$89,3,0)*0.475*44/12</f>
        <v>0</v>
      </c>
      <c r="AB182" s="23">
        <f>EXP(-LN(2)/2)*AB181+(1-EXP(-LN(2)/2))/(LN(2)/2)*V182*Y182*VLOOKUP('Données projet'!$B$9,Paramètres!$A$1:$I$89,3,0)*0.475*44/12</f>
        <v>0</v>
      </c>
      <c r="AC182" s="24">
        <f t="shared" si="163"/>
        <v>0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-1.1368683772161603E-13</v>
      </c>
      <c r="AJ182" s="14">
        <f>AI182*VLOOKUP('Données projet'!$B$10,Paramètres!$A$1:$I$89,3,0)*VLOOKUP('Données projet'!$B$10,Paramètres!$A$1:$I$89,5,0)</f>
        <v>-9.9316821433603781E-14</v>
      </c>
      <c r="AK182" s="14" t="e">
        <f t="shared" si="164"/>
        <v>#NUM!</v>
      </c>
      <c r="AL182" s="22" t="e">
        <f t="shared" si="165"/>
        <v>#NUM!</v>
      </c>
      <c r="AM182" s="60" t="e">
        <f t="shared" si="113"/>
        <v>#NUM!</v>
      </c>
      <c r="AN182" s="60">
        <f ca="1">AVERAGE(OFFSET($AM$3,0,0,'Données projet'!$E$10+1,1))-AVERAGE(OFFSET($H$3,0,0,'Données projet'!$E$10+1,1))</f>
        <v>274.66236526869056</v>
      </c>
      <c r="AO182" s="60">
        <f t="shared" si="144"/>
        <v>256.90876395053073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>
        <f>EXP(-LN(2)/35)*AU181+(1-EXP(-LN(2)/35))/(LN(2)/35)*AQ182*AR182*VLOOKUP('Données projet'!$B$10,Paramètres!$A$1:$I$89,3,0)*0.475*44/12</f>
        <v>0</v>
      </c>
      <c r="AV182" s="23">
        <f>EXP(-LN(2)/25)*AV181+(1-EXP(-LN(2)/25))/(LN(2)/25)*Calculateur!AQ182*Calculateur!AS182*VLOOKUP('Données projet'!$B$10,Paramètres!$A$1:$I$89,3,0)*0.475*44/12</f>
        <v>0</v>
      </c>
      <c r="AW182" s="23">
        <f>EXP(-LN(2)/2)*AW181+(1-EXP(-LN(2)/2))/(LN(2)/2)*AQ182*AT182*VLOOKUP('Données projet'!$B$10,Paramètres!$A$1:$I$89,3,0)*0.475*44/12</f>
        <v>0</v>
      </c>
      <c r="AX182" s="23">
        <f t="shared" si="166"/>
        <v>0</v>
      </c>
      <c r="AY182" s="76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-1.1368683772161603E-13</v>
      </c>
      <c r="BE182" s="14">
        <f>BD182*VLOOKUP('Données projet'!$B$11,Paramètres!$A$1:$I$89,3,0)*VLOOKUP('Données projet'!$B$11,Paramètres!$A$1:$I$89,5,0)</f>
        <v>-1.0286385077051818E-13</v>
      </c>
      <c r="BF182" s="14" t="e">
        <f t="shared" si="167"/>
        <v>#NUM!</v>
      </c>
      <c r="BG182" s="22" t="e">
        <f t="shared" si="168"/>
        <v>#NUM!</v>
      </c>
      <c r="BH182" s="60" t="e">
        <f t="shared" si="116"/>
        <v>#NUM!</v>
      </c>
      <c r="BI182" s="60">
        <f ca="1">AVERAGE(OFFSET($BH$3,0,0,'Données projet'!$E$11+1,1))-AVERAGE(OFFSET($H$3,0,0,'Données projet'!$E$11+1,1))</f>
        <v>529.25712986118265</v>
      </c>
      <c r="BJ182" s="60">
        <f t="shared" si="146"/>
        <v>278.21741231699929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>
        <f>EXP(-LN(2)/35)*BP181+(1-EXP(-LN(2)/35))/(LN(2)/35)*BL182*BM182*VLOOKUP('Données projet'!$B$11,Paramètres!$A$1:$I$89,3,0)*0.475*44/12</f>
        <v>0</v>
      </c>
      <c r="BQ182" s="23">
        <f>EXP(-LN(2)/25)*BQ181+(1-EXP(-LN(2)/25))/(LN(2)/25)*Calculateur!BL182*Calculateur!BN182*VLOOKUP('Données projet'!$B$11,Paramètres!$A$1:$I$89,3,0)*0.475*44/12</f>
        <v>0</v>
      </c>
      <c r="BR182" s="23">
        <f>EXP(-LN(2)/2)*BR181+(1-EXP(-LN(2)/2))/(LN(2)/2)*BL182*BO182*VLOOKUP('Données projet'!$B$11,Paramètres!$A$1:$I$89,3,0)*0.475*44/12</f>
        <v>0</v>
      </c>
      <c r="BS182" s="24">
        <f t="shared" si="169"/>
        <v>0</v>
      </c>
      <c r="BT182" s="77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-1.1368683772161603E-13</v>
      </c>
      <c r="BZ182" s="14">
        <f>BY182*VLOOKUP('Données projet'!$B$12,Paramètres!$A$1:$I$89,3,0)*VLOOKUP('Données projet'!$B$12,Paramètres!$A$1:$I$89,5,0)</f>
        <v>-1.1527845344971866E-13</v>
      </c>
      <c r="CA182" s="14" t="e">
        <f t="shared" si="170"/>
        <v>#NUM!</v>
      </c>
      <c r="CB182" s="22" t="e">
        <f t="shared" si="171"/>
        <v>#NUM!</v>
      </c>
      <c r="CC182" s="60" t="e">
        <f t="shared" si="119"/>
        <v>#NUM!</v>
      </c>
      <c r="CD182" s="60">
        <f ca="1">AVERAGE(OFFSET($CC$3,0,0,'Données projet'!$E$12+1,1))-AVERAGE(OFFSET($H$3,0,0,'Données projet'!$E$12+1,1))</f>
        <v>587.74247372331615</v>
      </c>
      <c r="CE182" s="60">
        <f t="shared" si="148"/>
        <v>306.61893266146666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>
        <f>EXP(-LN(2)/35)*CK181+(1-EXP(-LN(2)/35))/(LN(2)/35)*CG182*CH182*VLOOKUP('Données projet'!$B$12,Paramètres!$A$1:$I$89,3,0)*0.475*44/12</f>
        <v>0</v>
      </c>
      <c r="CL182" s="23">
        <f>EXP(-LN(2)/25)*CL181+(1-EXP(-LN(2)/25))/(LN(2)/25)*Calculateur!CG182*Calculateur!CI182*VLOOKUP('Données projet'!$B$12,Paramètres!$A$1:$I$89,3,0)*0.475*44/12</f>
        <v>0</v>
      </c>
      <c r="CM182" s="23">
        <f>EXP(-LN(2)/2)*CM181+(1-EXP(-LN(2)/2))/(LN(2)/2)*CG182*CJ182*VLOOKUP('Données projet'!$B$12,Paramètres!$A$1:$I$89,3,0)*0.475*44/12</f>
        <v>0</v>
      </c>
      <c r="CN182" s="24">
        <f t="shared" si="172"/>
        <v>0</v>
      </c>
      <c r="CO182" s="77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-1.1368683772161603E-13</v>
      </c>
      <c r="CU182" s="18">
        <f>CT182*VLOOKUP('Données projet'!$B$13,Paramètres!$A$1:$I$89,3,0)*VLOOKUP('Données projet'!$B$13,Paramètres!$A$1:$I$89,5,0)</f>
        <v>-1.223725121235475E-13</v>
      </c>
      <c r="CV182" s="14" t="e">
        <f t="shared" si="173"/>
        <v>#NUM!</v>
      </c>
      <c r="CW182" s="22" t="e">
        <f t="shared" si="174"/>
        <v>#NUM!</v>
      </c>
      <c r="CX182" s="60" t="e">
        <f t="shared" si="122"/>
        <v>#NUM!</v>
      </c>
      <c r="CY182" s="60">
        <f ca="1">AVERAGE(OFFSET($CX$3,0,0,'Données projet'!$E$13+1,1))-AVERAGE(OFFSET($H$3,0,0,'Données projet'!$E$13+1,1))</f>
        <v>621.10465023992288</v>
      </c>
      <c r="CZ182" s="60">
        <f t="shared" si="150"/>
        <v>322.81767004794284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>
        <f>EXP(-LN(2)/35)*DF181+(1-EXP(-LN(2)/35))/(LN(2)/35)*DB182*DC182*VLOOKUP('Données projet'!$B$13,Paramètres!$A$1:$I$89,3,0)*0.475*44/12</f>
        <v>0</v>
      </c>
      <c r="DG182" s="23">
        <f>EXP(-LN(2)/25)*DG181+(1-EXP(-LN(2)/25))/(LN(2)/25)*Calculateur!DB182*Calculateur!DD182*VLOOKUP('Données projet'!$B$13,Paramètres!$A$1:$I$89,3,0)*0.475*44/12</f>
        <v>0</v>
      </c>
      <c r="DH182" s="23">
        <f>EXP(-LN(2)/2)*DH181+(1-EXP(-LN(2)/2))/(LN(2)/2)*DB182*DE182*VLOOKUP('Données projet'!$B$13,Paramètres!$A$1:$I$89,3,0)*0.475*44/12</f>
        <v>0</v>
      </c>
      <c r="DI182" s="24">
        <f t="shared" si="175"/>
        <v>0</v>
      </c>
      <c r="DJ182" s="77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-1.1368683772161603E-13</v>
      </c>
      <c r="DP182" s="18">
        <f>DO182*VLOOKUP('Données projet'!$B$14,Paramètres!$A$1:$I$89,3,0)*VLOOKUP('Données projet'!$B$14,Paramètres!$A$1:$I$89,5,0)</f>
        <v>-1.0995790944434703E-13</v>
      </c>
      <c r="DQ182" s="14" t="e">
        <f t="shared" si="176"/>
        <v>#NUM!</v>
      </c>
      <c r="DR182" s="22" t="e">
        <f t="shared" si="177"/>
        <v>#NUM!</v>
      </c>
      <c r="DS182" s="60" t="e">
        <f t="shared" si="125"/>
        <v>#NUM!</v>
      </c>
      <c r="DT182" s="60">
        <f ca="1">AVERAGE(OFFSET($DS$3,0,0,'Données projet'!$E$14+1,1))-AVERAGE(OFFSET($H$3,0,0,'Données projet'!$E$14+1,1))</f>
        <v>562.69380557620775</v>
      </c>
      <c r="DU182" s="60">
        <f t="shared" si="152"/>
        <v>294.45557293177131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>
        <f>EXP(-LN(2)/35)*EA181+(1-EXP(-LN(2)/35))/(LN(2)/35)*DW182*DX182*VLOOKUP('Données projet'!$B$14,Paramètres!$A$1:$I$89,3,0)*0.475*44/12</f>
        <v>0</v>
      </c>
      <c r="EB182" s="23">
        <f>EXP(-LN(2)/25)*EB181+(1-EXP(-LN(2)/25))/(LN(2)/25)*Calculateur!DW182*Calculateur!DY182*VLOOKUP('Données projet'!$B$14,Paramètres!$A$1:$I$89,3,0)*0.475*44/12</f>
        <v>0</v>
      </c>
      <c r="EC182" s="23">
        <f>EXP(-LN(2)/2)*EC181+(1-EXP(-LN(2)/2))/(LN(2)/2)*DW182*DZ182*VLOOKUP('Données projet'!$B$14,Paramètres!$A$1:$I$89,3,0)*0.475*44/12</f>
        <v>0</v>
      </c>
      <c r="ED182" s="24">
        <f t="shared" si="178"/>
        <v>0</v>
      </c>
      <c r="EE182" s="77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1.1368683772161603E-13</v>
      </c>
      <c r="EK182" s="18">
        <f>EJ182*VLOOKUP('Données projet'!$B$15,Paramètres!$A$1:$I$89,3,0)*VLOOKUP('Données projet'!$B$15,Paramètres!$A$1:$I$89,5,0)</f>
        <v>8.8675733422860506E-14</v>
      </c>
      <c r="EL182" s="14">
        <f t="shared" si="179"/>
        <v>1.3509285393066301E-12</v>
      </c>
      <c r="EM182" s="22">
        <f t="shared" si="180"/>
        <v>2.5073107750038623E-12</v>
      </c>
      <c r="EN182" s="60">
        <f t="shared" si="128"/>
        <v>293.33333333333582</v>
      </c>
      <c r="EO182" s="60">
        <f ca="1">AVERAGE(OFFSET($EN$3,0,0,'Données projet'!$E$15+1,1))-AVERAGE(OFFSET($H$3,0,0,'Données projet'!$E$15+1,1))</f>
        <v>292.57482726862594</v>
      </c>
      <c r="EP182" s="60">
        <f t="shared" si="154"/>
        <v>283.48738729114024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>
        <f>EXP(-LN(2)/35)*EV181+(1-EXP(-LN(2)/35))/(LN(2)/35)*ER182*ES182*VLOOKUP('Données projet'!$B$15,Paramètres!$A$1:$I$89,3,0)*0.475*44/12</f>
        <v>0</v>
      </c>
      <c r="EW182" s="23">
        <f>EXP(-LN(2)/25)*EW181+(1-EXP(-LN(2)/25))/(LN(2)/25)*Calculateur!ER182*Calculateur!ET182*VLOOKUP('Données projet'!$B$15,Paramètres!$A$1:$I$89,3,0)*0.475*44/12</f>
        <v>0</v>
      </c>
      <c r="EX182" s="23">
        <f>EXP(-LN(2)/2)*EX181+(1-EXP(-LN(2)/2))/(LN(2)/2)*ER182*EU182*VLOOKUP('Données projet'!$B$15,Paramètres!$A$1:$I$89,3,0)*0.475*44/12</f>
        <v>0</v>
      </c>
      <c r="EY182" s="24">
        <f t="shared" si="181"/>
        <v>0</v>
      </c>
      <c r="EZ182" s="77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0" t="e">
        <f t="shared" si="131"/>
        <v>#N/A</v>
      </c>
      <c r="FJ182" s="60" t="e">
        <f ca="1">AVERAGE(OFFSET($FI$3,0,0,'Données projet'!$E$16+1,1))-AVERAGE(OFFSET($H$3,0,0,'Données projet'!$E$16+1,1))</f>
        <v>#N/A</v>
      </c>
      <c r="FK182" s="60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77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0" t="e">
        <f t="shared" si="134"/>
        <v>#N/A</v>
      </c>
      <c r="GE182" s="60" t="e">
        <f ca="1">AVERAGE(OFFSET($GD$3,0,0,'Données projet'!$E$17+1,1))-AVERAGE(OFFSET($H$3,0,0,'Données projet'!$E$17+1,1))</f>
        <v>#N/A</v>
      </c>
      <c r="GF182" s="60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77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0" t="e">
        <f t="shared" si="137"/>
        <v>#N/A</v>
      </c>
      <c r="GZ182" s="60" t="e">
        <f ca="1">AVERAGE(OFFSET($GY$3,0,0,'Données projet'!$E$18+1,1))-AVERAGE(OFFSET($H$3,0,0,'Données projet'!$E$18+1,1))</f>
        <v>#N/A</v>
      </c>
      <c r="HA182" s="60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25">
      <c r="A183" s="11">
        <f t="shared" si="161"/>
        <v>180</v>
      </c>
      <c r="B183" s="74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2">
        <f t="shared" si="140"/>
        <v>0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0</v>
      </c>
      <c r="H183" s="67">
        <f t="shared" si="110"/>
        <v>256.66666666666669</v>
      </c>
      <c r="I183" s="7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1.1368683772161603E-13</v>
      </c>
      <c r="O183" s="14">
        <f>N183*VLOOKUP('Données projet'!$B$9,Paramètres!$A$1:$I$89,3,0)*VLOOKUP('Données projet'!$B$9,Paramètres!$A$1:$I$89,5,0)</f>
        <v>1.0818439477588981E-13</v>
      </c>
      <c r="P183" s="14">
        <f t="shared" si="141"/>
        <v>1.6104228458716316E-12</v>
      </c>
      <c r="Q183" s="22">
        <f t="shared" si="162"/>
        <v>2.9932409441277661E-12</v>
      </c>
      <c r="R183" s="60">
        <f t="shared" si="109"/>
        <v>293.33333333333633</v>
      </c>
      <c r="S183" s="60">
        <f ca="1">AVERAGE(OFFSET($R$3,0,0,'Données projet'!$E$9+1,1))-AVERAGE(OFFSET($H$3,0,0,'Données projet'!$E$9+1,1))</f>
        <v>403.49781966317852</v>
      </c>
      <c r="T183" s="60">
        <f t="shared" si="142"/>
        <v>326.06674572505409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0</v>
      </c>
      <c r="AA183" s="23">
        <f>EXP(-LN(2)/25)*AA182+(1-EXP(-LN(2)/25))/(LN(2)/25)*Calculateur!V183*Calculateur!X183*VLOOKUP('Données projet'!$B$9,Paramètres!$A$1:$I$89,3,0)*0.475*44/12</f>
        <v>0</v>
      </c>
      <c r="AB183" s="23">
        <f>EXP(-LN(2)/2)*AB182+(1-EXP(-LN(2)/2))/(LN(2)/2)*V183*Y183*VLOOKUP('Données projet'!$B$9,Paramètres!$A$1:$I$89,3,0)*0.475*44/12</f>
        <v>0</v>
      </c>
      <c r="AC183" s="24">
        <f t="shared" si="163"/>
        <v>0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-1.1368683772161603E-13</v>
      </c>
      <c r="AJ183" s="14">
        <f>AI183*VLOOKUP('Données projet'!$B$10,Paramètres!$A$1:$I$89,3,0)*VLOOKUP('Données projet'!$B$10,Paramètres!$A$1:$I$89,5,0)</f>
        <v>-9.9316821433603781E-14</v>
      </c>
      <c r="AK183" s="14" t="e">
        <f t="shared" si="164"/>
        <v>#NUM!</v>
      </c>
      <c r="AL183" s="22" t="e">
        <f t="shared" si="165"/>
        <v>#NUM!</v>
      </c>
      <c r="AM183" s="60" t="e">
        <f t="shared" si="113"/>
        <v>#NUM!</v>
      </c>
      <c r="AN183" s="60">
        <f ca="1">AVERAGE(OFFSET($AM$3,0,0,'Données projet'!$E$10+1,1))-AVERAGE(OFFSET($H$3,0,0,'Données projet'!$E$10+1,1))</f>
        <v>274.66236526869056</v>
      </c>
      <c r="AO183" s="60">
        <f t="shared" si="144"/>
        <v>256.90876395053073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>
        <f>EXP(-LN(2)/35)*AU182+(1-EXP(-LN(2)/35))/(LN(2)/35)*AQ183*AR183*VLOOKUP('Données projet'!$B$10,Paramètres!$A$1:$I$89,3,0)*0.475*44/12</f>
        <v>0</v>
      </c>
      <c r="AV183" s="23">
        <f>EXP(-LN(2)/25)*AV182+(1-EXP(-LN(2)/25))/(LN(2)/25)*Calculateur!AQ183*Calculateur!AS183*VLOOKUP('Données projet'!$B$10,Paramètres!$A$1:$I$89,3,0)*0.475*44/12</f>
        <v>0</v>
      </c>
      <c r="AW183" s="23">
        <f>EXP(-LN(2)/2)*AW182+(1-EXP(-LN(2)/2))/(LN(2)/2)*AQ183*AT183*VLOOKUP('Données projet'!$B$10,Paramètres!$A$1:$I$89,3,0)*0.475*44/12</f>
        <v>0</v>
      </c>
      <c r="AX183" s="23">
        <f t="shared" si="166"/>
        <v>0</v>
      </c>
      <c r="AY183" s="76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-1.1368683772161603E-13</v>
      </c>
      <c r="BE183" s="14">
        <f>BD183*VLOOKUP('Données projet'!$B$11,Paramètres!$A$1:$I$89,3,0)*VLOOKUP('Données projet'!$B$11,Paramètres!$A$1:$I$89,5,0)</f>
        <v>-1.0286385077051818E-13</v>
      </c>
      <c r="BF183" s="14" t="e">
        <f t="shared" si="167"/>
        <v>#NUM!</v>
      </c>
      <c r="BG183" s="22" t="e">
        <f t="shared" si="168"/>
        <v>#NUM!</v>
      </c>
      <c r="BH183" s="60" t="e">
        <f t="shared" si="116"/>
        <v>#NUM!</v>
      </c>
      <c r="BI183" s="60">
        <f ca="1">AVERAGE(OFFSET($BH$3,0,0,'Données projet'!$E$11+1,1))-AVERAGE(OFFSET($H$3,0,0,'Données projet'!$E$11+1,1))</f>
        <v>529.25712986118265</v>
      </c>
      <c r="BJ183" s="60">
        <f t="shared" si="146"/>
        <v>278.21741231699929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>
        <f>EXP(-LN(2)/35)*BP182+(1-EXP(-LN(2)/35))/(LN(2)/35)*BL183*BM183*VLOOKUP('Données projet'!$B$11,Paramètres!$A$1:$I$89,3,0)*0.475*44/12</f>
        <v>0</v>
      </c>
      <c r="BQ183" s="23">
        <f>EXP(-LN(2)/25)*BQ182+(1-EXP(-LN(2)/25))/(LN(2)/25)*Calculateur!BL183*Calculateur!BN183*VLOOKUP('Données projet'!$B$11,Paramètres!$A$1:$I$89,3,0)*0.475*44/12</f>
        <v>0</v>
      </c>
      <c r="BR183" s="23">
        <f>EXP(-LN(2)/2)*BR182+(1-EXP(-LN(2)/2))/(LN(2)/2)*BL183*BO183*VLOOKUP('Données projet'!$B$11,Paramètres!$A$1:$I$89,3,0)*0.475*44/12</f>
        <v>0</v>
      </c>
      <c r="BS183" s="24">
        <f t="shared" si="169"/>
        <v>0</v>
      </c>
      <c r="BT183" s="77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-1.1368683772161603E-13</v>
      </c>
      <c r="BZ183" s="14">
        <f>BY183*VLOOKUP('Données projet'!$B$12,Paramètres!$A$1:$I$89,3,0)*VLOOKUP('Données projet'!$B$12,Paramètres!$A$1:$I$89,5,0)</f>
        <v>-1.1527845344971866E-13</v>
      </c>
      <c r="CA183" s="14" t="e">
        <f t="shared" si="170"/>
        <v>#NUM!</v>
      </c>
      <c r="CB183" s="22" t="e">
        <f t="shared" si="171"/>
        <v>#NUM!</v>
      </c>
      <c r="CC183" s="60" t="e">
        <f t="shared" si="119"/>
        <v>#NUM!</v>
      </c>
      <c r="CD183" s="60">
        <f ca="1">AVERAGE(OFFSET($CC$3,0,0,'Données projet'!$E$12+1,1))-AVERAGE(OFFSET($H$3,0,0,'Données projet'!$E$12+1,1))</f>
        <v>587.74247372331615</v>
      </c>
      <c r="CE183" s="60">
        <f t="shared" si="148"/>
        <v>306.61893266146666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>
        <f>EXP(-LN(2)/35)*CK182+(1-EXP(-LN(2)/35))/(LN(2)/35)*CG183*CH183*VLOOKUP('Données projet'!$B$12,Paramètres!$A$1:$I$89,3,0)*0.475*44/12</f>
        <v>0</v>
      </c>
      <c r="CL183" s="23">
        <f>EXP(-LN(2)/25)*CL182+(1-EXP(-LN(2)/25))/(LN(2)/25)*Calculateur!CG183*Calculateur!CI183*VLOOKUP('Données projet'!$B$12,Paramètres!$A$1:$I$89,3,0)*0.475*44/12</f>
        <v>0</v>
      </c>
      <c r="CM183" s="23">
        <f>EXP(-LN(2)/2)*CM182+(1-EXP(-LN(2)/2))/(LN(2)/2)*CG183*CJ183*VLOOKUP('Données projet'!$B$12,Paramètres!$A$1:$I$89,3,0)*0.475*44/12</f>
        <v>0</v>
      </c>
      <c r="CN183" s="24">
        <f t="shared" si="172"/>
        <v>0</v>
      </c>
      <c r="CO183" s="77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-1.1368683772161603E-13</v>
      </c>
      <c r="CU183" s="18">
        <f>CT183*VLOOKUP('Données projet'!$B$13,Paramètres!$A$1:$I$89,3,0)*VLOOKUP('Données projet'!$B$13,Paramètres!$A$1:$I$89,5,0)</f>
        <v>-1.223725121235475E-13</v>
      </c>
      <c r="CV183" s="14" t="e">
        <f t="shared" si="173"/>
        <v>#NUM!</v>
      </c>
      <c r="CW183" s="22" t="e">
        <f t="shared" si="174"/>
        <v>#NUM!</v>
      </c>
      <c r="CX183" s="60" t="e">
        <f t="shared" si="122"/>
        <v>#NUM!</v>
      </c>
      <c r="CY183" s="60">
        <f ca="1">AVERAGE(OFFSET($CX$3,0,0,'Données projet'!$E$13+1,1))-AVERAGE(OFFSET($H$3,0,0,'Données projet'!$E$13+1,1))</f>
        <v>621.10465023992288</v>
      </c>
      <c r="CZ183" s="60">
        <f t="shared" si="150"/>
        <v>322.81767004794284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>
        <f>EXP(-LN(2)/35)*DF182+(1-EXP(-LN(2)/35))/(LN(2)/35)*DB183*DC183*VLOOKUP('Données projet'!$B$13,Paramètres!$A$1:$I$89,3,0)*0.475*44/12</f>
        <v>0</v>
      </c>
      <c r="DG183" s="23">
        <f>EXP(-LN(2)/25)*DG182+(1-EXP(-LN(2)/25))/(LN(2)/25)*Calculateur!DB183*Calculateur!DD183*VLOOKUP('Données projet'!$B$13,Paramètres!$A$1:$I$89,3,0)*0.475*44/12</f>
        <v>0</v>
      </c>
      <c r="DH183" s="23">
        <f>EXP(-LN(2)/2)*DH182+(1-EXP(-LN(2)/2))/(LN(2)/2)*DB183*DE183*VLOOKUP('Données projet'!$B$13,Paramètres!$A$1:$I$89,3,0)*0.475*44/12</f>
        <v>0</v>
      </c>
      <c r="DI183" s="24">
        <f t="shared" si="175"/>
        <v>0</v>
      </c>
      <c r="DJ183" s="77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-1.1368683772161603E-13</v>
      </c>
      <c r="DP183" s="18">
        <f>DO183*VLOOKUP('Données projet'!$B$14,Paramètres!$A$1:$I$89,3,0)*VLOOKUP('Données projet'!$B$14,Paramètres!$A$1:$I$89,5,0)</f>
        <v>-1.0995790944434703E-13</v>
      </c>
      <c r="DQ183" s="14" t="e">
        <f t="shared" si="176"/>
        <v>#NUM!</v>
      </c>
      <c r="DR183" s="22" t="e">
        <f t="shared" si="177"/>
        <v>#NUM!</v>
      </c>
      <c r="DS183" s="60" t="e">
        <f t="shared" si="125"/>
        <v>#NUM!</v>
      </c>
      <c r="DT183" s="60">
        <f ca="1">AVERAGE(OFFSET($DS$3,0,0,'Données projet'!$E$14+1,1))-AVERAGE(OFFSET($H$3,0,0,'Données projet'!$E$14+1,1))</f>
        <v>562.69380557620775</v>
      </c>
      <c r="DU183" s="60">
        <f t="shared" si="152"/>
        <v>294.45557293177131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>
        <f>EXP(-LN(2)/35)*EA182+(1-EXP(-LN(2)/35))/(LN(2)/35)*DW183*DX183*VLOOKUP('Données projet'!$B$14,Paramètres!$A$1:$I$89,3,0)*0.475*44/12</f>
        <v>0</v>
      </c>
      <c r="EB183" s="23">
        <f>EXP(-LN(2)/25)*EB182+(1-EXP(-LN(2)/25))/(LN(2)/25)*Calculateur!DW183*Calculateur!DY183*VLOOKUP('Données projet'!$B$14,Paramètres!$A$1:$I$89,3,0)*0.475*44/12</f>
        <v>0</v>
      </c>
      <c r="EC183" s="23">
        <f>EXP(-LN(2)/2)*EC182+(1-EXP(-LN(2)/2))/(LN(2)/2)*DW183*DZ183*VLOOKUP('Données projet'!$B$14,Paramètres!$A$1:$I$89,3,0)*0.475*44/12</f>
        <v>0</v>
      </c>
      <c r="ED183" s="24">
        <f t="shared" si="178"/>
        <v>0</v>
      </c>
      <c r="EE183" s="77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1.1368683772161603E-13</v>
      </c>
      <c r="EK183" s="18">
        <f>EJ183*VLOOKUP('Données projet'!$B$15,Paramètres!$A$1:$I$89,3,0)*VLOOKUP('Données projet'!$B$15,Paramètres!$A$1:$I$89,5,0)</f>
        <v>8.8675733422860506E-14</v>
      </c>
      <c r="EL183" s="14">
        <f t="shared" si="179"/>
        <v>1.3509285393066301E-12</v>
      </c>
      <c r="EM183" s="22">
        <f t="shared" si="180"/>
        <v>2.5073107750038623E-12</v>
      </c>
      <c r="EN183" s="60">
        <f t="shared" si="128"/>
        <v>293.33333333333582</v>
      </c>
      <c r="EO183" s="60">
        <f ca="1">AVERAGE(OFFSET($EN$3,0,0,'Données projet'!$E$15+1,1))-AVERAGE(OFFSET($H$3,0,0,'Données projet'!$E$15+1,1))</f>
        <v>292.57482726862594</v>
      </c>
      <c r="EP183" s="60">
        <f t="shared" si="154"/>
        <v>283.48738729114024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>
        <f>EXP(-LN(2)/35)*EV182+(1-EXP(-LN(2)/35))/(LN(2)/35)*ER183*ES183*VLOOKUP('Données projet'!$B$15,Paramètres!$A$1:$I$89,3,0)*0.475*44/12</f>
        <v>0</v>
      </c>
      <c r="EW183" s="23">
        <f>EXP(-LN(2)/25)*EW182+(1-EXP(-LN(2)/25))/(LN(2)/25)*Calculateur!ER183*Calculateur!ET183*VLOOKUP('Données projet'!$B$15,Paramètres!$A$1:$I$89,3,0)*0.475*44/12</f>
        <v>0</v>
      </c>
      <c r="EX183" s="23">
        <f>EXP(-LN(2)/2)*EX182+(1-EXP(-LN(2)/2))/(LN(2)/2)*ER183*EU183*VLOOKUP('Données projet'!$B$15,Paramètres!$A$1:$I$89,3,0)*0.475*44/12</f>
        <v>0</v>
      </c>
      <c r="EY183" s="24">
        <f t="shared" si="181"/>
        <v>0</v>
      </c>
      <c r="EZ183" s="77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0" t="e">
        <f t="shared" si="131"/>
        <v>#N/A</v>
      </c>
      <c r="FJ183" s="60" t="e">
        <f ca="1">AVERAGE(OFFSET($FI$3,0,0,'Données projet'!$E$16+1,1))-AVERAGE(OFFSET($H$3,0,0,'Données projet'!$E$16+1,1))</f>
        <v>#N/A</v>
      </c>
      <c r="FK183" s="60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77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0" t="e">
        <f t="shared" si="134"/>
        <v>#N/A</v>
      </c>
      <c r="GE183" s="60" t="e">
        <f ca="1">AVERAGE(OFFSET($GD$3,0,0,'Données projet'!$E$17+1,1))-AVERAGE(OFFSET($H$3,0,0,'Données projet'!$E$17+1,1))</f>
        <v>#N/A</v>
      </c>
      <c r="GF183" s="60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77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0" t="e">
        <f t="shared" si="137"/>
        <v>#N/A</v>
      </c>
      <c r="GZ183" s="60" t="e">
        <f ca="1">AVERAGE(OFFSET($GY$3,0,0,'Données projet'!$E$18+1,1))-AVERAGE(OFFSET($H$3,0,0,'Données projet'!$E$18+1,1))</f>
        <v>#N/A</v>
      </c>
      <c r="HA183" s="60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25">
      <c r="A184" s="11">
        <f t="shared" si="161"/>
        <v>181</v>
      </c>
      <c r="B184" s="74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2">
        <f t="shared" si="140"/>
        <v>0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0</v>
      </c>
      <c r="H184" s="67">
        <f t="shared" si="110"/>
        <v>256.66666666666669</v>
      </c>
      <c r="I184" s="7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1.1368683772161603E-13</v>
      </c>
      <c r="O184" s="14">
        <f>N184*VLOOKUP('Données projet'!$B$9,Paramètres!$A$1:$I$89,3,0)*VLOOKUP('Données projet'!$B$9,Paramètres!$A$1:$I$89,5,0)</f>
        <v>1.0818439477588981E-13</v>
      </c>
      <c r="P184" s="14">
        <f t="shared" si="141"/>
        <v>1.6104228458716316E-12</v>
      </c>
      <c r="Q184" s="22">
        <f t="shared" si="162"/>
        <v>2.9932409441277661E-12</v>
      </c>
      <c r="R184" s="60">
        <f t="shared" si="109"/>
        <v>293.33333333333633</v>
      </c>
      <c r="S184" s="60">
        <f ca="1">AVERAGE(OFFSET($R$3,0,0,'Données projet'!$E$9+1,1))-AVERAGE(OFFSET($H$3,0,0,'Données projet'!$E$9+1,1))</f>
        <v>403.49781966317852</v>
      </c>
      <c r="T184" s="60">
        <f t="shared" si="142"/>
        <v>326.06674572505409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0</v>
      </c>
      <c r="AA184" s="23">
        <f>EXP(-LN(2)/25)*AA183+(1-EXP(-LN(2)/25))/(LN(2)/25)*Calculateur!V184*Calculateur!X184*VLOOKUP('Données projet'!$B$9,Paramètres!$A$1:$I$89,3,0)*0.475*44/12</f>
        <v>0</v>
      </c>
      <c r="AB184" s="23">
        <f>EXP(-LN(2)/2)*AB183+(1-EXP(-LN(2)/2))/(LN(2)/2)*V184*Y184*VLOOKUP('Données projet'!$B$9,Paramètres!$A$1:$I$89,3,0)*0.475*44/12</f>
        <v>0</v>
      </c>
      <c r="AC184" s="24">
        <f t="shared" si="163"/>
        <v>0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-1.1368683772161603E-13</v>
      </c>
      <c r="AJ184" s="14">
        <f>AI184*VLOOKUP('Données projet'!$B$10,Paramètres!$A$1:$I$89,3,0)*VLOOKUP('Données projet'!$B$10,Paramètres!$A$1:$I$89,5,0)</f>
        <v>-9.9316821433603781E-14</v>
      </c>
      <c r="AK184" s="14" t="e">
        <f t="shared" si="164"/>
        <v>#NUM!</v>
      </c>
      <c r="AL184" s="22" t="e">
        <f t="shared" si="165"/>
        <v>#NUM!</v>
      </c>
      <c r="AM184" s="60" t="e">
        <f t="shared" si="113"/>
        <v>#NUM!</v>
      </c>
      <c r="AN184" s="60">
        <f ca="1">AVERAGE(OFFSET($AM$3,0,0,'Données projet'!$E$10+1,1))-AVERAGE(OFFSET($H$3,0,0,'Données projet'!$E$10+1,1))</f>
        <v>274.66236526869056</v>
      </c>
      <c r="AO184" s="60">
        <f t="shared" si="144"/>
        <v>256.90876395053073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>
        <f>EXP(-LN(2)/35)*AU183+(1-EXP(-LN(2)/35))/(LN(2)/35)*AQ184*AR184*VLOOKUP('Données projet'!$B$10,Paramètres!$A$1:$I$89,3,0)*0.475*44/12</f>
        <v>0</v>
      </c>
      <c r="AV184" s="23">
        <f>EXP(-LN(2)/25)*AV183+(1-EXP(-LN(2)/25))/(LN(2)/25)*Calculateur!AQ184*Calculateur!AS184*VLOOKUP('Données projet'!$B$10,Paramètres!$A$1:$I$89,3,0)*0.475*44/12</f>
        <v>0</v>
      </c>
      <c r="AW184" s="23">
        <f>EXP(-LN(2)/2)*AW183+(1-EXP(-LN(2)/2))/(LN(2)/2)*AQ184*AT184*VLOOKUP('Données projet'!$B$10,Paramètres!$A$1:$I$89,3,0)*0.475*44/12</f>
        <v>0</v>
      </c>
      <c r="AX184" s="23">
        <f t="shared" si="166"/>
        <v>0</v>
      </c>
      <c r="AY184" s="76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-1.1368683772161603E-13</v>
      </c>
      <c r="BE184" s="14">
        <f>BD184*VLOOKUP('Données projet'!$B$11,Paramètres!$A$1:$I$89,3,0)*VLOOKUP('Données projet'!$B$11,Paramètres!$A$1:$I$89,5,0)</f>
        <v>-1.0286385077051818E-13</v>
      </c>
      <c r="BF184" s="14" t="e">
        <f t="shared" si="167"/>
        <v>#NUM!</v>
      </c>
      <c r="BG184" s="22" t="e">
        <f t="shared" si="168"/>
        <v>#NUM!</v>
      </c>
      <c r="BH184" s="60" t="e">
        <f t="shared" si="116"/>
        <v>#NUM!</v>
      </c>
      <c r="BI184" s="60">
        <f ca="1">AVERAGE(OFFSET($BH$3,0,0,'Données projet'!$E$11+1,1))-AVERAGE(OFFSET($H$3,0,0,'Données projet'!$E$11+1,1))</f>
        <v>529.25712986118265</v>
      </c>
      <c r="BJ184" s="60">
        <f t="shared" si="146"/>
        <v>278.21741231699929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>
        <f>EXP(-LN(2)/35)*BP183+(1-EXP(-LN(2)/35))/(LN(2)/35)*BL184*BM184*VLOOKUP('Données projet'!$B$11,Paramètres!$A$1:$I$89,3,0)*0.475*44/12</f>
        <v>0</v>
      </c>
      <c r="BQ184" s="23">
        <f>EXP(-LN(2)/25)*BQ183+(1-EXP(-LN(2)/25))/(LN(2)/25)*Calculateur!BL184*Calculateur!BN184*VLOOKUP('Données projet'!$B$11,Paramètres!$A$1:$I$89,3,0)*0.475*44/12</f>
        <v>0</v>
      </c>
      <c r="BR184" s="23">
        <f>EXP(-LN(2)/2)*BR183+(1-EXP(-LN(2)/2))/(LN(2)/2)*BL184*BO184*VLOOKUP('Données projet'!$B$11,Paramètres!$A$1:$I$89,3,0)*0.475*44/12</f>
        <v>0</v>
      </c>
      <c r="BS184" s="24">
        <f t="shared" si="169"/>
        <v>0</v>
      </c>
      <c r="BT184" s="77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-1.1368683772161603E-13</v>
      </c>
      <c r="BZ184" s="14">
        <f>BY184*VLOOKUP('Données projet'!$B$12,Paramètres!$A$1:$I$89,3,0)*VLOOKUP('Données projet'!$B$12,Paramètres!$A$1:$I$89,5,0)</f>
        <v>-1.1527845344971866E-13</v>
      </c>
      <c r="CA184" s="14" t="e">
        <f t="shared" si="170"/>
        <v>#NUM!</v>
      </c>
      <c r="CB184" s="22" t="e">
        <f t="shared" si="171"/>
        <v>#NUM!</v>
      </c>
      <c r="CC184" s="60" t="e">
        <f t="shared" si="119"/>
        <v>#NUM!</v>
      </c>
      <c r="CD184" s="60">
        <f ca="1">AVERAGE(OFFSET($CC$3,0,0,'Données projet'!$E$12+1,1))-AVERAGE(OFFSET($H$3,0,0,'Données projet'!$E$12+1,1))</f>
        <v>587.74247372331615</v>
      </c>
      <c r="CE184" s="60">
        <f t="shared" si="148"/>
        <v>306.61893266146666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>
        <f>EXP(-LN(2)/35)*CK183+(1-EXP(-LN(2)/35))/(LN(2)/35)*CG184*CH184*VLOOKUP('Données projet'!$B$12,Paramètres!$A$1:$I$89,3,0)*0.475*44/12</f>
        <v>0</v>
      </c>
      <c r="CL184" s="23">
        <f>EXP(-LN(2)/25)*CL183+(1-EXP(-LN(2)/25))/(LN(2)/25)*Calculateur!CG184*Calculateur!CI184*VLOOKUP('Données projet'!$B$12,Paramètres!$A$1:$I$89,3,0)*0.475*44/12</f>
        <v>0</v>
      </c>
      <c r="CM184" s="23">
        <f>EXP(-LN(2)/2)*CM183+(1-EXP(-LN(2)/2))/(LN(2)/2)*CG184*CJ184*VLOOKUP('Données projet'!$B$12,Paramètres!$A$1:$I$89,3,0)*0.475*44/12</f>
        <v>0</v>
      </c>
      <c r="CN184" s="24">
        <f t="shared" si="172"/>
        <v>0</v>
      </c>
      <c r="CO184" s="77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-1.1368683772161603E-13</v>
      </c>
      <c r="CU184" s="18">
        <f>CT184*VLOOKUP('Données projet'!$B$13,Paramètres!$A$1:$I$89,3,0)*VLOOKUP('Données projet'!$B$13,Paramètres!$A$1:$I$89,5,0)</f>
        <v>-1.223725121235475E-13</v>
      </c>
      <c r="CV184" s="14" t="e">
        <f t="shared" si="173"/>
        <v>#NUM!</v>
      </c>
      <c r="CW184" s="22" t="e">
        <f t="shared" si="174"/>
        <v>#NUM!</v>
      </c>
      <c r="CX184" s="60" t="e">
        <f t="shared" si="122"/>
        <v>#NUM!</v>
      </c>
      <c r="CY184" s="60">
        <f ca="1">AVERAGE(OFFSET($CX$3,0,0,'Données projet'!$E$13+1,1))-AVERAGE(OFFSET($H$3,0,0,'Données projet'!$E$13+1,1))</f>
        <v>621.10465023992288</v>
      </c>
      <c r="CZ184" s="60">
        <f t="shared" si="150"/>
        <v>322.81767004794284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>
        <f>EXP(-LN(2)/35)*DF183+(1-EXP(-LN(2)/35))/(LN(2)/35)*DB184*DC184*VLOOKUP('Données projet'!$B$13,Paramètres!$A$1:$I$89,3,0)*0.475*44/12</f>
        <v>0</v>
      </c>
      <c r="DG184" s="23">
        <f>EXP(-LN(2)/25)*DG183+(1-EXP(-LN(2)/25))/(LN(2)/25)*Calculateur!DB184*Calculateur!DD184*VLOOKUP('Données projet'!$B$13,Paramètres!$A$1:$I$89,3,0)*0.475*44/12</f>
        <v>0</v>
      </c>
      <c r="DH184" s="23">
        <f>EXP(-LN(2)/2)*DH183+(1-EXP(-LN(2)/2))/(LN(2)/2)*DB184*DE184*VLOOKUP('Données projet'!$B$13,Paramètres!$A$1:$I$89,3,0)*0.475*44/12</f>
        <v>0</v>
      </c>
      <c r="DI184" s="24">
        <f t="shared" si="175"/>
        <v>0</v>
      </c>
      <c r="DJ184" s="77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-1.1368683772161603E-13</v>
      </c>
      <c r="DP184" s="18">
        <f>DO184*VLOOKUP('Données projet'!$B$14,Paramètres!$A$1:$I$89,3,0)*VLOOKUP('Données projet'!$B$14,Paramètres!$A$1:$I$89,5,0)</f>
        <v>-1.0995790944434703E-13</v>
      </c>
      <c r="DQ184" s="14" t="e">
        <f t="shared" si="176"/>
        <v>#NUM!</v>
      </c>
      <c r="DR184" s="22" t="e">
        <f t="shared" si="177"/>
        <v>#NUM!</v>
      </c>
      <c r="DS184" s="60" t="e">
        <f t="shared" si="125"/>
        <v>#NUM!</v>
      </c>
      <c r="DT184" s="60">
        <f ca="1">AVERAGE(OFFSET($DS$3,0,0,'Données projet'!$E$14+1,1))-AVERAGE(OFFSET($H$3,0,0,'Données projet'!$E$14+1,1))</f>
        <v>562.69380557620775</v>
      </c>
      <c r="DU184" s="60">
        <f t="shared" si="152"/>
        <v>294.45557293177131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>
        <f>EXP(-LN(2)/35)*EA183+(1-EXP(-LN(2)/35))/(LN(2)/35)*DW184*DX184*VLOOKUP('Données projet'!$B$14,Paramètres!$A$1:$I$89,3,0)*0.475*44/12</f>
        <v>0</v>
      </c>
      <c r="EB184" s="23">
        <f>EXP(-LN(2)/25)*EB183+(1-EXP(-LN(2)/25))/(LN(2)/25)*Calculateur!DW184*Calculateur!DY184*VLOOKUP('Données projet'!$B$14,Paramètres!$A$1:$I$89,3,0)*0.475*44/12</f>
        <v>0</v>
      </c>
      <c r="EC184" s="23">
        <f>EXP(-LN(2)/2)*EC183+(1-EXP(-LN(2)/2))/(LN(2)/2)*DW184*DZ184*VLOOKUP('Données projet'!$B$14,Paramètres!$A$1:$I$89,3,0)*0.475*44/12</f>
        <v>0</v>
      </c>
      <c r="ED184" s="24">
        <f t="shared" si="178"/>
        <v>0</v>
      </c>
      <c r="EE184" s="77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1.1368683772161603E-13</v>
      </c>
      <c r="EK184" s="18">
        <f>EJ184*VLOOKUP('Données projet'!$B$15,Paramètres!$A$1:$I$89,3,0)*VLOOKUP('Données projet'!$B$15,Paramètres!$A$1:$I$89,5,0)</f>
        <v>8.8675733422860506E-14</v>
      </c>
      <c r="EL184" s="14">
        <f t="shared" si="179"/>
        <v>1.3509285393066301E-12</v>
      </c>
      <c r="EM184" s="22">
        <f t="shared" si="180"/>
        <v>2.5073107750038623E-12</v>
      </c>
      <c r="EN184" s="60">
        <f t="shared" si="128"/>
        <v>293.33333333333582</v>
      </c>
      <c r="EO184" s="60">
        <f ca="1">AVERAGE(OFFSET($EN$3,0,0,'Données projet'!$E$15+1,1))-AVERAGE(OFFSET($H$3,0,0,'Données projet'!$E$15+1,1))</f>
        <v>292.57482726862594</v>
      </c>
      <c r="EP184" s="60">
        <f t="shared" si="154"/>
        <v>283.48738729114024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>
        <f>EXP(-LN(2)/35)*EV183+(1-EXP(-LN(2)/35))/(LN(2)/35)*ER184*ES184*VLOOKUP('Données projet'!$B$15,Paramètres!$A$1:$I$89,3,0)*0.475*44/12</f>
        <v>0</v>
      </c>
      <c r="EW184" s="23">
        <f>EXP(-LN(2)/25)*EW183+(1-EXP(-LN(2)/25))/(LN(2)/25)*Calculateur!ER184*Calculateur!ET184*VLOOKUP('Données projet'!$B$15,Paramètres!$A$1:$I$89,3,0)*0.475*44/12</f>
        <v>0</v>
      </c>
      <c r="EX184" s="23">
        <f>EXP(-LN(2)/2)*EX183+(1-EXP(-LN(2)/2))/(LN(2)/2)*ER184*EU184*VLOOKUP('Données projet'!$B$15,Paramètres!$A$1:$I$89,3,0)*0.475*44/12</f>
        <v>0</v>
      </c>
      <c r="EY184" s="24">
        <f t="shared" si="181"/>
        <v>0</v>
      </c>
      <c r="EZ184" s="77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0" t="e">
        <f t="shared" si="131"/>
        <v>#N/A</v>
      </c>
      <c r="FJ184" s="60" t="e">
        <f ca="1">AVERAGE(OFFSET($FI$3,0,0,'Données projet'!$E$16+1,1))-AVERAGE(OFFSET($H$3,0,0,'Données projet'!$E$16+1,1))</f>
        <v>#N/A</v>
      </c>
      <c r="FK184" s="60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77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0" t="e">
        <f t="shared" si="134"/>
        <v>#N/A</v>
      </c>
      <c r="GE184" s="60" t="e">
        <f ca="1">AVERAGE(OFFSET($GD$3,0,0,'Données projet'!$E$17+1,1))-AVERAGE(OFFSET($H$3,0,0,'Données projet'!$E$17+1,1))</f>
        <v>#N/A</v>
      </c>
      <c r="GF184" s="60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77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0" t="e">
        <f t="shared" si="137"/>
        <v>#N/A</v>
      </c>
      <c r="GZ184" s="60" t="e">
        <f ca="1">AVERAGE(OFFSET($GY$3,0,0,'Données projet'!$E$18+1,1))-AVERAGE(OFFSET($H$3,0,0,'Données projet'!$E$18+1,1))</f>
        <v>#N/A</v>
      </c>
      <c r="HA184" s="60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25">
      <c r="A185" s="11">
        <f t="shared" si="161"/>
        <v>182</v>
      </c>
      <c r="B185" s="74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2">
        <f t="shared" si="140"/>
        <v>0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0</v>
      </c>
      <c r="H185" s="67">
        <f t="shared" si="110"/>
        <v>256.66666666666669</v>
      </c>
      <c r="I185" s="7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1.1368683772161603E-13</v>
      </c>
      <c r="O185" s="14">
        <f>N185*VLOOKUP('Données projet'!$B$9,Paramètres!$A$1:$I$89,3,0)*VLOOKUP('Données projet'!$B$9,Paramètres!$A$1:$I$89,5,0)</f>
        <v>1.0818439477588981E-13</v>
      </c>
      <c r="P185" s="14">
        <f t="shared" si="141"/>
        <v>1.6104228458716316E-12</v>
      </c>
      <c r="Q185" s="22">
        <f t="shared" si="162"/>
        <v>2.9932409441277661E-12</v>
      </c>
      <c r="R185" s="60">
        <f t="shared" si="109"/>
        <v>293.33333333333633</v>
      </c>
      <c r="S185" s="60">
        <f ca="1">AVERAGE(OFFSET($R$3,0,0,'Données projet'!$E$9+1,1))-AVERAGE(OFFSET($H$3,0,0,'Données projet'!$E$9+1,1))</f>
        <v>403.49781966317852</v>
      </c>
      <c r="T185" s="60">
        <f t="shared" si="142"/>
        <v>326.06674572505409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0</v>
      </c>
      <c r="AA185" s="23">
        <f>EXP(-LN(2)/25)*AA184+(1-EXP(-LN(2)/25))/(LN(2)/25)*Calculateur!V185*Calculateur!X185*VLOOKUP('Données projet'!$B$9,Paramètres!$A$1:$I$89,3,0)*0.475*44/12</f>
        <v>0</v>
      </c>
      <c r="AB185" s="23">
        <f>EXP(-LN(2)/2)*AB184+(1-EXP(-LN(2)/2))/(LN(2)/2)*V185*Y185*VLOOKUP('Données projet'!$B$9,Paramètres!$A$1:$I$89,3,0)*0.475*44/12</f>
        <v>0</v>
      </c>
      <c r="AC185" s="24">
        <f t="shared" si="163"/>
        <v>0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-1.1368683772161603E-13</v>
      </c>
      <c r="AJ185" s="14">
        <f>AI185*VLOOKUP('Données projet'!$B$10,Paramètres!$A$1:$I$89,3,0)*VLOOKUP('Données projet'!$B$10,Paramètres!$A$1:$I$89,5,0)</f>
        <v>-9.9316821433603781E-14</v>
      </c>
      <c r="AK185" s="14" t="e">
        <f t="shared" si="164"/>
        <v>#NUM!</v>
      </c>
      <c r="AL185" s="22" t="e">
        <f t="shared" si="165"/>
        <v>#NUM!</v>
      </c>
      <c r="AM185" s="60" t="e">
        <f t="shared" si="113"/>
        <v>#NUM!</v>
      </c>
      <c r="AN185" s="60">
        <f ca="1">AVERAGE(OFFSET($AM$3,0,0,'Données projet'!$E$10+1,1))-AVERAGE(OFFSET($H$3,0,0,'Données projet'!$E$10+1,1))</f>
        <v>274.66236526869056</v>
      </c>
      <c r="AO185" s="60">
        <f t="shared" si="144"/>
        <v>256.90876395053073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>
        <f>EXP(-LN(2)/35)*AU184+(1-EXP(-LN(2)/35))/(LN(2)/35)*AQ185*AR185*VLOOKUP('Données projet'!$B$10,Paramètres!$A$1:$I$89,3,0)*0.475*44/12</f>
        <v>0</v>
      </c>
      <c r="AV185" s="23">
        <f>EXP(-LN(2)/25)*AV184+(1-EXP(-LN(2)/25))/(LN(2)/25)*Calculateur!AQ185*Calculateur!AS185*VLOOKUP('Données projet'!$B$10,Paramètres!$A$1:$I$89,3,0)*0.475*44/12</f>
        <v>0</v>
      </c>
      <c r="AW185" s="23">
        <f>EXP(-LN(2)/2)*AW184+(1-EXP(-LN(2)/2))/(LN(2)/2)*AQ185*AT185*VLOOKUP('Données projet'!$B$10,Paramètres!$A$1:$I$89,3,0)*0.475*44/12</f>
        <v>0</v>
      </c>
      <c r="AX185" s="23">
        <f t="shared" si="166"/>
        <v>0</v>
      </c>
      <c r="AY185" s="76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-1.1368683772161603E-13</v>
      </c>
      <c r="BE185" s="14">
        <f>BD185*VLOOKUP('Données projet'!$B$11,Paramètres!$A$1:$I$89,3,0)*VLOOKUP('Données projet'!$B$11,Paramètres!$A$1:$I$89,5,0)</f>
        <v>-1.0286385077051818E-13</v>
      </c>
      <c r="BF185" s="14" t="e">
        <f t="shared" si="167"/>
        <v>#NUM!</v>
      </c>
      <c r="BG185" s="22" t="e">
        <f t="shared" si="168"/>
        <v>#NUM!</v>
      </c>
      <c r="BH185" s="60" t="e">
        <f t="shared" si="116"/>
        <v>#NUM!</v>
      </c>
      <c r="BI185" s="60">
        <f ca="1">AVERAGE(OFFSET($BH$3,0,0,'Données projet'!$E$11+1,1))-AVERAGE(OFFSET($H$3,0,0,'Données projet'!$E$11+1,1))</f>
        <v>529.25712986118265</v>
      </c>
      <c r="BJ185" s="60">
        <f t="shared" si="146"/>
        <v>278.21741231699929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>
        <f>EXP(-LN(2)/35)*BP184+(1-EXP(-LN(2)/35))/(LN(2)/35)*BL185*BM185*VLOOKUP('Données projet'!$B$11,Paramètres!$A$1:$I$89,3,0)*0.475*44/12</f>
        <v>0</v>
      </c>
      <c r="BQ185" s="23">
        <f>EXP(-LN(2)/25)*BQ184+(1-EXP(-LN(2)/25))/(LN(2)/25)*Calculateur!BL185*Calculateur!BN185*VLOOKUP('Données projet'!$B$11,Paramètres!$A$1:$I$89,3,0)*0.475*44/12</f>
        <v>0</v>
      </c>
      <c r="BR185" s="23">
        <f>EXP(-LN(2)/2)*BR184+(1-EXP(-LN(2)/2))/(LN(2)/2)*BL185*BO185*VLOOKUP('Données projet'!$B$11,Paramètres!$A$1:$I$89,3,0)*0.475*44/12</f>
        <v>0</v>
      </c>
      <c r="BS185" s="24">
        <f t="shared" si="169"/>
        <v>0</v>
      </c>
      <c r="BT185" s="77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-1.1368683772161603E-13</v>
      </c>
      <c r="BZ185" s="14">
        <f>BY185*VLOOKUP('Données projet'!$B$12,Paramètres!$A$1:$I$89,3,0)*VLOOKUP('Données projet'!$B$12,Paramètres!$A$1:$I$89,5,0)</f>
        <v>-1.1527845344971866E-13</v>
      </c>
      <c r="CA185" s="14" t="e">
        <f t="shared" si="170"/>
        <v>#NUM!</v>
      </c>
      <c r="CB185" s="22" t="e">
        <f t="shared" si="171"/>
        <v>#NUM!</v>
      </c>
      <c r="CC185" s="60" t="e">
        <f t="shared" si="119"/>
        <v>#NUM!</v>
      </c>
      <c r="CD185" s="60">
        <f ca="1">AVERAGE(OFFSET($CC$3,0,0,'Données projet'!$E$12+1,1))-AVERAGE(OFFSET($H$3,0,0,'Données projet'!$E$12+1,1))</f>
        <v>587.74247372331615</v>
      </c>
      <c r="CE185" s="60">
        <f t="shared" si="148"/>
        <v>306.61893266146666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>
        <f>EXP(-LN(2)/35)*CK184+(1-EXP(-LN(2)/35))/(LN(2)/35)*CG185*CH185*VLOOKUP('Données projet'!$B$12,Paramètres!$A$1:$I$89,3,0)*0.475*44/12</f>
        <v>0</v>
      </c>
      <c r="CL185" s="23">
        <f>EXP(-LN(2)/25)*CL184+(1-EXP(-LN(2)/25))/(LN(2)/25)*Calculateur!CG185*Calculateur!CI185*VLOOKUP('Données projet'!$B$12,Paramètres!$A$1:$I$89,3,0)*0.475*44/12</f>
        <v>0</v>
      </c>
      <c r="CM185" s="23">
        <f>EXP(-LN(2)/2)*CM184+(1-EXP(-LN(2)/2))/(LN(2)/2)*CG185*CJ185*VLOOKUP('Données projet'!$B$12,Paramètres!$A$1:$I$89,3,0)*0.475*44/12</f>
        <v>0</v>
      </c>
      <c r="CN185" s="24">
        <f t="shared" si="172"/>
        <v>0</v>
      </c>
      <c r="CO185" s="77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-1.1368683772161603E-13</v>
      </c>
      <c r="CU185" s="18">
        <f>CT185*VLOOKUP('Données projet'!$B$13,Paramètres!$A$1:$I$89,3,0)*VLOOKUP('Données projet'!$B$13,Paramètres!$A$1:$I$89,5,0)</f>
        <v>-1.223725121235475E-13</v>
      </c>
      <c r="CV185" s="14" t="e">
        <f t="shared" si="173"/>
        <v>#NUM!</v>
      </c>
      <c r="CW185" s="22" t="e">
        <f t="shared" si="174"/>
        <v>#NUM!</v>
      </c>
      <c r="CX185" s="60" t="e">
        <f t="shared" si="122"/>
        <v>#NUM!</v>
      </c>
      <c r="CY185" s="60">
        <f ca="1">AVERAGE(OFFSET($CX$3,0,0,'Données projet'!$E$13+1,1))-AVERAGE(OFFSET($H$3,0,0,'Données projet'!$E$13+1,1))</f>
        <v>621.10465023992288</v>
      </c>
      <c r="CZ185" s="60">
        <f t="shared" si="150"/>
        <v>322.81767004794284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>
        <f>EXP(-LN(2)/35)*DF184+(1-EXP(-LN(2)/35))/(LN(2)/35)*DB185*DC185*VLOOKUP('Données projet'!$B$13,Paramètres!$A$1:$I$89,3,0)*0.475*44/12</f>
        <v>0</v>
      </c>
      <c r="DG185" s="23">
        <f>EXP(-LN(2)/25)*DG184+(1-EXP(-LN(2)/25))/(LN(2)/25)*Calculateur!DB185*Calculateur!DD185*VLOOKUP('Données projet'!$B$13,Paramètres!$A$1:$I$89,3,0)*0.475*44/12</f>
        <v>0</v>
      </c>
      <c r="DH185" s="23">
        <f>EXP(-LN(2)/2)*DH184+(1-EXP(-LN(2)/2))/(LN(2)/2)*DB185*DE185*VLOOKUP('Données projet'!$B$13,Paramètres!$A$1:$I$89,3,0)*0.475*44/12</f>
        <v>0</v>
      </c>
      <c r="DI185" s="24">
        <f t="shared" si="175"/>
        <v>0</v>
      </c>
      <c r="DJ185" s="77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-1.1368683772161603E-13</v>
      </c>
      <c r="DP185" s="18">
        <f>DO185*VLOOKUP('Données projet'!$B$14,Paramètres!$A$1:$I$89,3,0)*VLOOKUP('Données projet'!$B$14,Paramètres!$A$1:$I$89,5,0)</f>
        <v>-1.0995790944434703E-13</v>
      </c>
      <c r="DQ185" s="14" t="e">
        <f t="shared" si="176"/>
        <v>#NUM!</v>
      </c>
      <c r="DR185" s="22" t="e">
        <f t="shared" si="177"/>
        <v>#NUM!</v>
      </c>
      <c r="DS185" s="60" t="e">
        <f t="shared" si="125"/>
        <v>#NUM!</v>
      </c>
      <c r="DT185" s="60">
        <f ca="1">AVERAGE(OFFSET($DS$3,0,0,'Données projet'!$E$14+1,1))-AVERAGE(OFFSET($H$3,0,0,'Données projet'!$E$14+1,1))</f>
        <v>562.69380557620775</v>
      </c>
      <c r="DU185" s="60">
        <f t="shared" si="152"/>
        <v>294.45557293177131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>
        <f>EXP(-LN(2)/35)*EA184+(1-EXP(-LN(2)/35))/(LN(2)/35)*DW185*DX185*VLOOKUP('Données projet'!$B$14,Paramètres!$A$1:$I$89,3,0)*0.475*44/12</f>
        <v>0</v>
      </c>
      <c r="EB185" s="23">
        <f>EXP(-LN(2)/25)*EB184+(1-EXP(-LN(2)/25))/(LN(2)/25)*Calculateur!DW185*Calculateur!DY185*VLOOKUP('Données projet'!$B$14,Paramètres!$A$1:$I$89,3,0)*0.475*44/12</f>
        <v>0</v>
      </c>
      <c r="EC185" s="23">
        <f>EXP(-LN(2)/2)*EC184+(1-EXP(-LN(2)/2))/(LN(2)/2)*DW185*DZ185*VLOOKUP('Données projet'!$B$14,Paramètres!$A$1:$I$89,3,0)*0.475*44/12</f>
        <v>0</v>
      </c>
      <c r="ED185" s="24">
        <f t="shared" si="178"/>
        <v>0</v>
      </c>
      <c r="EE185" s="77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1.1368683772161603E-13</v>
      </c>
      <c r="EK185" s="18">
        <f>EJ185*VLOOKUP('Données projet'!$B$15,Paramètres!$A$1:$I$89,3,0)*VLOOKUP('Données projet'!$B$15,Paramètres!$A$1:$I$89,5,0)</f>
        <v>8.8675733422860506E-14</v>
      </c>
      <c r="EL185" s="14">
        <f t="shared" si="179"/>
        <v>1.3509285393066301E-12</v>
      </c>
      <c r="EM185" s="22">
        <f t="shared" si="180"/>
        <v>2.5073107750038623E-12</v>
      </c>
      <c r="EN185" s="60">
        <f t="shared" si="128"/>
        <v>293.33333333333582</v>
      </c>
      <c r="EO185" s="60">
        <f ca="1">AVERAGE(OFFSET($EN$3,0,0,'Données projet'!$E$15+1,1))-AVERAGE(OFFSET($H$3,0,0,'Données projet'!$E$15+1,1))</f>
        <v>292.57482726862594</v>
      </c>
      <c r="EP185" s="60">
        <f t="shared" si="154"/>
        <v>283.48738729114024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>
        <f>EXP(-LN(2)/35)*EV184+(1-EXP(-LN(2)/35))/(LN(2)/35)*ER185*ES185*VLOOKUP('Données projet'!$B$15,Paramètres!$A$1:$I$89,3,0)*0.475*44/12</f>
        <v>0</v>
      </c>
      <c r="EW185" s="23">
        <f>EXP(-LN(2)/25)*EW184+(1-EXP(-LN(2)/25))/(LN(2)/25)*Calculateur!ER185*Calculateur!ET185*VLOOKUP('Données projet'!$B$15,Paramètres!$A$1:$I$89,3,0)*0.475*44/12</f>
        <v>0</v>
      </c>
      <c r="EX185" s="23">
        <f>EXP(-LN(2)/2)*EX184+(1-EXP(-LN(2)/2))/(LN(2)/2)*ER185*EU185*VLOOKUP('Données projet'!$B$15,Paramètres!$A$1:$I$89,3,0)*0.475*44/12</f>
        <v>0</v>
      </c>
      <c r="EY185" s="24">
        <f t="shared" si="181"/>
        <v>0</v>
      </c>
      <c r="EZ185" s="77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0" t="e">
        <f t="shared" si="131"/>
        <v>#N/A</v>
      </c>
      <c r="FJ185" s="60" t="e">
        <f ca="1">AVERAGE(OFFSET($FI$3,0,0,'Données projet'!$E$16+1,1))-AVERAGE(OFFSET($H$3,0,0,'Données projet'!$E$16+1,1))</f>
        <v>#N/A</v>
      </c>
      <c r="FK185" s="60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77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0" t="e">
        <f t="shared" si="134"/>
        <v>#N/A</v>
      </c>
      <c r="GE185" s="60" t="e">
        <f ca="1">AVERAGE(OFFSET($GD$3,0,0,'Données projet'!$E$17+1,1))-AVERAGE(OFFSET($H$3,0,0,'Données projet'!$E$17+1,1))</f>
        <v>#N/A</v>
      </c>
      <c r="GF185" s="60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77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0" t="e">
        <f t="shared" si="137"/>
        <v>#N/A</v>
      </c>
      <c r="GZ185" s="60" t="e">
        <f ca="1">AVERAGE(OFFSET($GY$3,0,0,'Données projet'!$E$18+1,1))-AVERAGE(OFFSET($H$3,0,0,'Données projet'!$E$18+1,1))</f>
        <v>#N/A</v>
      </c>
      <c r="HA185" s="60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25">
      <c r="A186" s="11">
        <f t="shared" si="161"/>
        <v>183</v>
      </c>
      <c r="B186" s="74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2">
        <f t="shared" si="140"/>
        <v>0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0</v>
      </c>
      <c r="H186" s="67">
        <f t="shared" si="110"/>
        <v>256.66666666666669</v>
      </c>
      <c r="I186" s="7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1.1368683772161603E-13</v>
      </c>
      <c r="O186" s="14">
        <f>N186*VLOOKUP('Données projet'!$B$9,Paramètres!$A$1:$I$89,3,0)*VLOOKUP('Données projet'!$B$9,Paramètres!$A$1:$I$89,5,0)</f>
        <v>1.0818439477588981E-13</v>
      </c>
      <c r="P186" s="14">
        <f t="shared" si="141"/>
        <v>1.6104228458716316E-12</v>
      </c>
      <c r="Q186" s="22">
        <f t="shared" si="162"/>
        <v>2.9932409441277661E-12</v>
      </c>
      <c r="R186" s="60">
        <f t="shared" si="109"/>
        <v>293.33333333333633</v>
      </c>
      <c r="S186" s="60">
        <f ca="1">AVERAGE(OFFSET($R$3,0,0,'Données projet'!$E$9+1,1))-AVERAGE(OFFSET($H$3,0,0,'Données projet'!$E$9+1,1))</f>
        <v>403.49781966317852</v>
      </c>
      <c r="T186" s="60">
        <f t="shared" si="142"/>
        <v>326.06674572505409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0</v>
      </c>
      <c r="AA186" s="23">
        <f>EXP(-LN(2)/25)*AA185+(1-EXP(-LN(2)/25))/(LN(2)/25)*Calculateur!V186*Calculateur!X186*VLOOKUP('Données projet'!$B$9,Paramètres!$A$1:$I$89,3,0)*0.475*44/12</f>
        <v>0</v>
      </c>
      <c r="AB186" s="23">
        <f>EXP(-LN(2)/2)*AB185+(1-EXP(-LN(2)/2))/(LN(2)/2)*V186*Y186*VLOOKUP('Données projet'!$B$9,Paramètres!$A$1:$I$89,3,0)*0.475*44/12</f>
        <v>0</v>
      </c>
      <c r="AC186" s="24">
        <f t="shared" si="163"/>
        <v>0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-1.1368683772161603E-13</v>
      </c>
      <c r="AJ186" s="14">
        <f>AI186*VLOOKUP('Données projet'!$B$10,Paramètres!$A$1:$I$89,3,0)*VLOOKUP('Données projet'!$B$10,Paramètres!$A$1:$I$89,5,0)</f>
        <v>-9.9316821433603781E-14</v>
      </c>
      <c r="AK186" s="14" t="e">
        <f t="shared" si="164"/>
        <v>#NUM!</v>
      </c>
      <c r="AL186" s="22" t="e">
        <f t="shared" si="165"/>
        <v>#NUM!</v>
      </c>
      <c r="AM186" s="60" t="e">
        <f t="shared" si="113"/>
        <v>#NUM!</v>
      </c>
      <c r="AN186" s="60">
        <f ca="1">AVERAGE(OFFSET($AM$3,0,0,'Données projet'!$E$10+1,1))-AVERAGE(OFFSET($H$3,0,0,'Données projet'!$E$10+1,1))</f>
        <v>274.66236526869056</v>
      </c>
      <c r="AO186" s="60">
        <f t="shared" si="144"/>
        <v>256.90876395053073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>
        <f>EXP(-LN(2)/35)*AU185+(1-EXP(-LN(2)/35))/(LN(2)/35)*AQ186*AR186*VLOOKUP('Données projet'!$B$10,Paramètres!$A$1:$I$89,3,0)*0.475*44/12</f>
        <v>0</v>
      </c>
      <c r="AV186" s="23">
        <f>EXP(-LN(2)/25)*AV185+(1-EXP(-LN(2)/25))/(LN(2)/25)*Calculateur!AQ186*Calculateur!AS186*VLOOKUP('Données projet'!$B$10,Paramètres!$A$1:$I$89,3,0)*0.475*44/12</f>
        <v>0</v>
      </c>
      <c r="AW186" s="23">
        <f>EXP(-LN(2)/2)*AW185+(1-EXP(-LN(2)/2))/(LN(2)/2)*AQ186*AT186*VLOOKUP('Données projet'!$B$10,Paramètres!$A$1:$I$89,3,0)*0.475*44/12</f>
        <v>0</v>
      </c>
      <c r="AX186" s="23">
        <f t="shared" si="166"/>
        <v>0</v>
      </c>
      <c r="AY186" s="76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-1.1368683772161603E-13</v>
      </c>
      <c r="BE186" s="14">
        <f>BD186*VLOOKUP('Données projet'!$B$11,Paramètres!$A$1:$I$89,3,0)*VLOOKUP('Données projet'!$B$11,Paramètres!$A$1:$I$89,5,0)</f>
        <v>-1.0286385077051818E-13</v>
      </c>
      <c r="BF186" s="14" t="e">
        <f t="shared" si="167"/>
        <v>#NUM!</v>
      </c>
      <c r="BG186" s="22" t="e">
        <f t="shared" si="168"/>
        <v>#NUM!</v>
      </c>
      <c r="BH186" s="60" t="e">
        <f t="shared" si="116"/>
        <v>#NUM!</v>
      </c>
      <c r="BI186" s="60">
        <f ca="1">AVERAGE(OFFSET($BH$3,0,0,'Données projet'!$E$11+1,1))-AVERAGE(OFFSET($H$3,0,0,'Données projet'!$E$11+1,1))</f>
        <v>529.25712986118265</v>
      </c>
      <c r="BJ186" s="60">
        <f t="shared" si="146"/>
        <v>278.21741231699929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>
        <f>EXP(-LN(2)/35)*BP185+(1-EXP(-LN(2)/35))/(LN(2)/35)*BL186*BM186*VLOOKUP('Données projet'!$B$11,Paramètres!$A$1:$I$89,3,0)*0.475*44/12</f>
        <v>0</v>
      </c>
      <c r="BQ186" s="23">
        <f>EXP(-LN(2)/25)*BQ185+(1-EXP(-LN(2)/25))/(LN(2)/25)*Calculateur!BL186*Calculateur!BN186*VLOOKUP('Données projet'!$B$11,Paramètres!$A$1:$I$89,3,0)*0.475*44/12</f>
        <v>0</v>
      </c>
      <c r="BR186" s="23">
        <f>EXP(-LN(2)/2)*BR185+(1-EXP(-LN(2)/2))/(LN(2)/2)*BL186*BO186*VLOOKUP('Données projet'!$B$11,Paramètres!$A$1:$I$89,3,0)*0.475*44/12</f>
        <v>0</v>
      </c>
      <c r="BS186" s="24">
        <f t="shared" si="169"/>
        <v>0</v>
      </c>
      <c r="BT186" s="77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-1.1368683772161603E-13</v>
      </c>
      <c r="BZ186" s="14">
        <f>BY186*VLOOKUP('Données projet'!$B$12,Paramètres!$A$1:$I$89,3,0)*VLOOKUP('Données projet'!$B$12,Paramètres!$A$1:$I$89,5,0)</f>
        <v>-1.1527845344971866E-13</v>
      </c>
      <c r="CA186" s="14" t="e">
        <f t="shared" si="170"/>
        <v>#NUM!</v>
      </c>
      <c r="CB186" s="22" t="e">
        <f t="shared" si="171"/>
        <v>#NUM!</v>
      </c>
      <c r="CC186" s="60" t="e">
        <f t="shared" si="119"/>
        <v>#NUM!</v>
      </c>
      <c r="CD186" s="60">
        <f ca="1">AVERAGE(OFFSET($CC$3,0,0,'Données projet'!$E$12+1,1))-AVERAGE(OFFSET($H$3,0,0,'Données projet'!$E$12+1,1))</f>
        <v>587.74247372331615</v>
      </c>
      <c r="CE186" s="60">
        <f t="shared" si="148"/>
        <v>306.61893266146666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>
        <f>EXP(-LN(2)/35)*CK185+(1-EXP(-LN(2)/35))/(LN(2)/35)*CG186*CH186*VLOOKUP('Données projet'!$B$12,Paramètres!$A$1:$I$89,3,0)*0.475*44/12</f>
        <v>0</v>
      </c>
      <c r="CL186" s="23">
        <f>EXP(-LN(2)/25)*CL185+(1-EXP(-LN(2)/25))/(LN(2)/25)*Calculateur!CG186*Calculateur!CI186*VLOOKUP('Données projet'!$B$12,Paramètres!$A$1:$I$89,3,0)*0.475*44/12</f>
        <v>0</v>
      </c>
      <c r="CM186" s="23">
        <f>EXP(-LN(2)/2)*CM185+(1-EXP(-LN(2)/2))/(LN(2)/2)*CG186*CJ186*VLOOKUP('Données projet'!$B$12,Paramètres!$A$1:$I$89,3,0)*0.475*44/12</f>
        <v>0</v>
      </c>
      <c r="CN186" s="24">
        <f t="shared" si="172"/>
        <v>0</v>
      </c>
      <c r="CO186" s="77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-1.1368683772161603E-13</v>
      </c>
      <c r="CU186" s="18">
        <f>CT186*VLOOKUP('Données projet'!$B$13,Paramètres!$A$1:$I$89,3,0)*VLOOKUP('Données projet'!$B$13,Paramètres!$A$1:$I$89,5,0)</f>
        <v>-1.223725121235475E-13</v>
      </c>
      <c r="CV186" s="14" t="e">
        <f t="shared" si="173"/>
        <v>#NUM!</v>
      </c>
      <c r="CW186" s="22" t="e">
        <f t="shared" si="174"/>
        <v>#NUM!</v>
      </c>
      <c r="CX186" s="60" t="e">
        <f t="shared" si="122"/>
        <v>#NUM!</v>
      </c>
      <c r="CY186" s="60">
        <f ca="1">AVERAGE(OFFSET($CX$3,0,0,'Données projet'!$E$13+1,1))-AVERAGE(OFFSET($H$3,0,0,'Données projet'!$E$13+1,1))</f>
        <v>621.10465023992288</v>
      </c>
      <c r="CZ186" s="60">
        <f t="shared" si="150"/>
        <v>322.81767004794284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>
        <f>EXP(-LN(2)/35)*DF185+(1-EXP(-LN(2)/35))/(LN(2)/35)*DB186*DC186*VLOOKUP('Données projet'!$B$13,Paramètres!$A$1:$I$89,3,0)*0.475*44/12</f>
        <v>0</v>
      </c>
      <c r="DG186" s="23">
        <f>EXP(-LN(2)/25)*DG185+(1-EXP(-LN(2)/25))/(LN(2)/25)*Calculateur!DB186*Calculateur!DD186*VLOOKUP('Données projet'!$B$13,Paramètres!$A$1:$I$89,3,0)*0.475*44/12</f>
        <v>0</v>
      </c>
      <c r="DH186" s="23">
        <f>EXP(-LN(2)/2)*DH185+(1-EXP(-LN(2)/2))/(LN(2)/2)*DB186*DE186*VLOOKUP('Données projet'!$B$13,Paramètres!$A$1:$I$89,3,0)*0.475*44/12</f>
        <v>0</v>
      </c>
      <c r="DI186" s="24">
        <f t="shared" si="175"/>
        <v>0</v>
      </c>
      <c r="DJ186" s="77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-1.1368683772161603E-13</v>
      </c>
      <c r="DP186" s="18">
        <f>DO186*VLOOKUP('Données projet'!$B$14,Paramètres!$A$1:$I$89,3,0)*VLOOKUP('Données projet'!$B$14,Paramètres!$A$1:$I$89,5,0)</f>
        <v>-1.0995790944434703E-13</v>
      </c>
      <c r="DQ186" s="14" t="e">
        <f t="shared" si="176"/>
        <v>#NUM!</v>
      </c>
      <c r="DR186" s="22" t="e">
        <f t="shared" si="177"/>
        <v>#NUM!</v>
      </c>
      <c r="DS186" s="60" t="e">
        <f t="shared" si="125"/>
        <v>#NUM!</v>
      </c>
      <c r="DT186" s="60">
        <f ca="1">AVERAGE(OFFSET($DS$3,0,0,'Données projet'!$E$14+1,1))-AVERAGE(OFFSET($H$3,0,0,'Données projet'!$E$14+1,1))</f>
        <v>562.69380557620775</v>
      </c>
      <c r="DU186" s="60">
        <f t="shared" si="152"/>
        <v>294.45557293177131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>
        <f>EXP(-LN(2)/35)*EA185+(1-EXP(-LN(2)/35))/(LN(2)/35)*DW186*DX186*VLOOKUP('Données projet'!$B$14,Paramètres!$A$1:$I$89,3,0)*0.475*44/12</f>
        <v>0</v>
      </c>
      <c r="EB186" s="23">
        <f>EXP(-LN(2)/25)*EB185+(1-EXP(-LN(2)/25))/(LN(2)/25)*Calculateur!DW186*Calculateur!DY186*VLOOKUP('Données projet'!$B$14,Paramètres!$A$1:$I$89,3,0)*0.475*44/12</f>
        <v>0</v>
      </c>
      <c r="EC186" s="23">
        <f>EXP(-LN(2)/2)*EC185+(1-EXP(-LN(2)/2))/(LN(2)/2)*DW186*DZ186*VLOOKUP('Données projet'!$B$14,Paramètres!$A$1:$I$89,3,0)*0.475*44/12</f>
        <v>0</v>
      </c>
      <c r="ED186" s="24">
        <f t="shared" si="178"/>
        <v>0</v>
      </c>
      <c r="EE186" s="77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1.1368683772161603E-13</v>
      </c>
      <c r="EK186" s="18">
        <f>EJ186*VLOOKUP('Données projet'!$B$15,Paramètres!$A$1:$I$89,3,0)*VLOOKUP('Données projet'!$B$15,Paramètres!$A$1:$I$89,5,0)</f>
        <v>8.8675733422860506E-14</v>
      </c>
      <c r="EL186" s="14">
        <f t="shared" si="179"/>
        <v>1.3509285393066301E-12</v>
      </c>
      <c r="EM186" s="22">
        <f t="shared" si="180"/>
        <v>2.5073107750038623E-12</v>
      </c>
      <c r="EN186" s="60">
        <f t="shared" si="128"/>
        <v>293.33333333333582</v>
      </c>
      <c r="EO186" s="60">
        <f ca="1">AVERAGE(OFFSET($EN$3,0,0,'Données projet'!$E$15+1,1))-AVERAGE(OFFSET($H$3,0,0,'Données projet'!$E$15+1,1))</f>
        <v>292.57482726862594</v>
      </c>
      <c r="EP186" s="60">
        <f t="shared" si="154"/>
        <v>283.48738729114024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>
        <f>EXP(-LN(2)/35)*EV185+(1-EXP(-LN(2)/35))/(LN(2)/35)*ER186*ES186*VLOOKUP('Données projet'!$B$15,Paramètres!$A$1:$I$89,3,0)*0.475*44/12</f>
        <v>0</v>
      </c>
      <c r="EW186" s="23">
        <f>EXP(-LN(2)/25)*EW185+(1-EXP(-LN(2)/25))/(LN(2)/25)*Calculateur!ER186*Calculateur!ET186*VLOOKUP('Données projet'!$B$15,Paramètres!$A$1:$I$89,3,0)*0.475*44/12</f>
        <v>0</v>
      </c>
      <c r="EX186" s="23">
        <f>EXP(-LN(2)/2)*EX185+(1-EXP(-LN(2)/2))/(LN(2)/2)*ER186*EU186*VLOOKUP('Données projet'!$B$15,Paramètres!$A$1:$I$89,3,0)*0.475*44/12</f>
        <v>0</v>
      </c>
      <c r="EY186" s="24">
        <f t="shared" si="181"/>
        <v>0</v>
      </c>
      <c r="EZ186" s="77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0" t="e">
        <f t="shared" si="131"/>
        <v>#N/A</v>
      </c>
      <c r="FJ186" s="60" t="e">
        <f ca="1">AVERAGE(OFFSET($FI$3,0,0,'Données projet'!$E$16+1,1))-AVERAGE(OFFSET($H$3,0,0,'Données projet'!$E$16+1,1))</f>
        <v>#N/A</v>
      </c>
      <c r="FK186" s="60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77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0" t="e">
        <f t="shared" si="134"/>
        <v>#N/A</v>
      </c>
      <c r="GE186" s="60" t="e">
        <f ca="1">AVERAGE(OFFSET($GD$3,0,0,'Données projet'!$E$17+1,1))-AVERAGE(OFFSET($H$3,0,0,'Données projet'!$E$17+1,1))</f>
        <v>#N/A</v>
      </c>
      <c r="GF186" s="60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77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0" t="e">
        <f t="shared" si="137"/>
        <v>#N/A</v>
      </c>
      <c r="GZ186" s="60" t="e">
        <f ca="1">AVERAGE(OFFSET($GY$3,0,0,'Données projet'!$E$18+1,1))-AVERAGE(OFFSET($H$3,0,0,'Données projet'!$E$18+1,1))</f>
        <v>#N/A</v>
      </c>
      <c r="HA186" s="60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25">
      <c r="A187" s="11">
        <f t="shared" si="161"/>
        <v>184</v>
      </c>
      <c r="B187" s="74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2">
        <f t="shared" si="140"/>
        <v>0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0</v>
      </c>
      <c r="H187" s="67">
        <f t="shared" si="110"/>
        <v>256.66666666666669</v>
      </c>
      <c r="I187" s="7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1.1368683772161603E-13</v>
      </c>
      <c r="O187" s="14">
        <f>N187*VLOOKUP('Données projet'!$B$9,Paramètres!$A$1:$I$89,3,0)*VLOOKUP('Données projet'!$B$9,Paramètres!$A$1:$I$89,5,0)</f>
        <v>1.0818439477588981E-13</v>
      </c>
      <c r="P187" s="14">
        <f t="shared" si="141"/>
        <v>1.6104228458716316E-12</v>
      </c>
      <c r="Q187" s="22">
        <f t="shared" si="162"/>
        <v>2.9932409441277661E-12</v>
      </c>
      <c r="R187" s="60">
        <f t="shared" si="109"/>
        <v>293.33333333333633</v>
      </c>
      <c r="S187" s="60">
        <f ca="1">AVERAGE(OFFSET($R$3,0,0,'Données projet'!$E$9+1,1))-AVERAGE(OFFSET($H$3,0,0,'Données projet'!$E$9+1,1))</f>
        <v>403.49781966317852</v>
      </c>
      <c r="T187" s="60">
        <f t="shared" si="142"/>
        <v>326.06674572505409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0</v>
      </c>
      <c r="AA187" s="23">
        <f>EXP(-LN(2)/25)*AA186+(1-EXP(-LN(2)/25))/(LN(2)/25)*Calculateur!V187*Calculateur!X187*VLOOKUP('Données projet'!$B$9,Paramètres!$A$1:$I$89,3,0)*0.475*44/12</f>
        <v>0</v>
      </c>
      <c r="AB187" s="23">
        <f>EXP(-LN(2)/2)*AB186+(1-EXP(-LN(2)/2))/(LN(2)/2)*V187*Y187*VLOOKUP('Données projet'!$B$9,Paramètres!$A$1:$I$89,3,0)*0.475*44/12</f>
        <v>0</v>
      </c>
      <c r="AC187" s="24">
        <f t="shared" si="163"/>
        <v>0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-1.1368683772161603E-13</v>
      </c>
      <c r="AJ187" s="14">
        <f>AI187*VLOOKUP('Données projet'!$B$10,Paramètres!$A$1:$I$89,3,0)*VLOOKUP('Données projet'!$B$10,Paramètres!$A$1:$I$89,5,0)</f>
        <v>-9.9316821433603781E-14</v>
      </c>
      <c r="AK187" s="14" t="e">
        <f t="shared" si="164"/>
        <v>#NUM!</v>
      </c>
      <c r="AL187" s="22" t="e">
        <f t="shared" si="165"/>
        <v>#NUM!</v>
      </c>
      <c r="AM187" s="60" t="e">
        <f t="shared" si="113"/>
        <v>#NUM!</v>
      </c>
      <c r="AN187" s="60">
        <f ca="1">AVERAGE(OFFSET($AM$3,0,0,'Données projet'!$E$10+1,1))-AVERAGE(OFFSET($H$3,0,0,'Données projet'!$E$10+1,1))</f>
        <v>274.66236526869056</v>
      </c>
      <c r="AO187" s="60">
        <f t="shared" si="144"/>
        <v>256.90876395053073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>
        <f>EXP(-LN(2)/35)*AU186+(1-EXP(-LN(2)/35))/(LN(2)/35)*AQ187*AR187*VLOOKUP('Données projet'!$B$10,Paramètres!$A$1:$I$89,3,0)*0.475*44/12</f>
        <v>0</v>
      </c>
      <c r="AV187" s="23">
        <f>EXP(-LN(2)/25)*AV186+(1-EXP(-LN(2)/25))/(LN(2)/25)*Calculateur!AQ187*Calculateur!AS187*VLOOKUP('Données projet'!$B$10,Paramètres!$A$1:$I$89,3,0)*0.475*44/12</f>
        <v>0</v>
      </c>
      <c r="AW187" s="23">
        <f>EXP(-LN(2)/2)*AW186+(1-EXP(-LN(2)/2))/(LN(2)/2)*AQ187*AT187*VLOOKUP('Données projet'!$B$10,Paramètres!$A$1:$I$89,3,0)*0.475*44/12</f>
        <v>0</v>
      </c>
      <c r="AX187" s="23">
        <f t="shared" si="166"/>
        <v>0</v>
      </c>
      <c r="AY187" s="76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-1.1368683772161603E-13</v>
      </c>
      <c r="BE187" s="14">
        <f>BD187*VLOOKUP('Données projet'!$B$11,Paramètres!$A$1:$I$89,3,0)*VLOOKUP('Données projet'!$B$11,Paramètres!$A$1:$I$89,5,0)</f>
        <v>-1.0286385077051818E-13</v>
      </c>
      <c r="BF187" s="14" t="e">
        <f t="shared" si="167"/>
        <v>#NUM!</v>
      </c>
      <c r="BG187" s="22" t="e">
        <f t="shared" si="168"/>
        <v>#NUM!</v>
      </c>
      <c r="BH187" s="60" t="e">
        <f t="shared" si="116"/>
        <v>#NUM!</v>
      </c>
      <c r="BI187" s="60">
        <f ca="1">AVERAGE(OFFSET($BH$3,0,0,'Données projet'!$E$11+1,1))-AVERAGE(OFFSET($H$3,0,0,'Données projet'!$E$11+1,1))</f>
        <v>529.25712986118265</v>
      </c>
      <c r="BJ187" s="60">
        <f t="shared" si="146"/>
        <v>278.21741231699929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>
        <f>EXP(-LN(2)/35)*BP186+(1-EXP(-LN(2)/35))/(LN(2)/35)*BL187*BM187*VLOOKUP('Données projet'!$B$11,Paramètres!$A$1:$I$89,3,0)*0.475*44/12</f>
        <v>0</v>
      </c>
      <c r="BQ187" s="23">
        <f>EXP(-LN(2)/25)*BQ186+(1-EXP(-LN(2)/25))/(LN(2)/25)*Calculateur!BL187*Calculateur!BN187*VLOOKUP('Données projet'!$B$11,Paramètres!$A$1:$I$89,3,0)*0.475*44/12</f>
        <v>0</v>
      </c>
      <c r="BR187" s="23">
        <f>EXP(-LN(2)/2)*BR186+(1-EXP(-LN(2)/2))/(LN(2)/2)*BL187*BO187*VLOOKUP('Données projet'!$B$11,Paramètres!$A$1:$I$89,3,0)*0.475*44/12</f>
        <v>0</v>
      </c>
      <c r="BS187" s="24">
        <f t="shared" si="169"/>
        <v>0</v>
      </c>
      <c r="BT187" s="77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-1.1368683772161603E-13</v>
      </c>
      <c r="BZ187" s="14">
        <f>BY187*VLOOKUP('Données projet'!$B$12,Paramètres!$A$1:$I$89,3,0)*VLOOKUP('Données projet'!$B$12,Paramètres!$A$1:$I$89,5,0)</f>
        <v>-1.1527845344971866E-13</v>
      </c>
      <c r="CA187" s="14" t="e">
        <f t="shared" si="170"/>
        <v>#NUM!</v>
      </c>
      <c r="CB187" s="22" t="e">
        <f t="shared" si="171"/>
        <v>#NUM!</v>
      </c>
      <c r="CC187" s="60" t="e">
        <f t="shared" si="119"/>
        <v>#NUM!</v>
      </c>
      <c r="CD187" s="60">
        <f ca="1">AVERAGE(OFFSET($CC$3,0,0,'Données projet'!$E$12+1,1))-AVERAGE(OFFSET($H$3,0,0,'Données projet'!$E$12+1,1))</f>
        <v>587.74247372331615</v>
      </c>
      <c r="CE187" s="60">
        <f t="shared" si="148"/>
        <v>306.61893266146666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>
        <f>EXP(-LN(2)/35)*CK186+(1-EXP(-LN(2)/35))/(LN(2)/35)*CG187*CH187*VLOOKUP('Données projet'!$B$12,Paramètres!$A$1:$I$89,3,0)*0.475*44/12</f>
        <v>0</v>
      </c>
      <c r="CL187" s="23">
        <f>EXP(-LN(2)/25)*CL186+(1-EXP(-LN(2)/25))/(LN(2)/25)*Calculateur!CG187*Calculateur!CI187*VLOOKUP('Données projet'!$B$12,Paramètres!$A$1:$I$89,3,0)*0.475*44/12</f>
        <v>0</v>
      </c>
      <c r="CM187" s="23">
        <f>EXP(-LN(2)/2)*CM186+(1-EXP(-LN(2)/2))/(LN(2)/2)*CG187*CJ187*VLOOKUP('Données projet'!$B$12,Paramètres!$A$1:$I$89,3,0)*0.475*44/12</f>
        <v>0</v>
      </c>
      <c r="CN187" s="24">
        <f t="shared" si="172"/>
        <v>0</v>
      </c>
      <c r="CO187" s="77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-1.1368683772161603E-13</v>
      </c>
      <c r="CU187" s="18">
        <f>CT187*VLOOKUP('Données projet'!$B$13,Paramètres!$A$1:$I$89,3,0)*VLOOKUP('Données projet'!$B$13,Paramètres!$A$1:$I$89,5,0)</f>
        <v>-1.223725121235475E-13</v>
      </c>
      <c r="CV187" s="14" t="e">
        <f t="shared" si="173"/>
        <v>#NUM!</v>
      </c>
      <c r="CW187" s="22" t="e">
        <f t="shared" si="174"/>
        <v>#NUM!</v>
      </c>
      <c r="CX187" s="60" t="e">
        <f t="shared" si="122"/>
        <v>#NUM!</v>
      </c>
      <c r="CY187" s="60">
        <f ca="1">AVERAGE(OFFSET($CX$3,0,0,'Données projet'!$E$13+1,1))-AVERAGE(OFFSET($H$3,0,0,'Données projet'!$E$13+1,1))</f>
        <v>621.10465023992288</v>
      </c>
      <c r="CZ187" s="60">
        <f t="shared" si="150"/>
        <v>322.81767004794284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>
        <f>EXP(-LN(2)/35)*DF186+(1-EXP(-LN(2)/35))/(LN(2)/35)*DB187*DC187*VLOOKUP('Données projet'!$B$13,Paramètres!$A$1:$I$89,3,0)*0.475*44/12</f>
        <v>0</v>
      </c>
      <c r="DG187" s="23">
        <f>EXP(-LN(2)/25)*DG186+(1-EXP(-LN(2)/25))/(LN(2)/25)*Calculateur!DB187*Calculateur!DD187*VLOOKUP('Données projet'!$B$13,Paramètres!$A$1:$I$89,3,0)*0.475*44/12</f>
        <v>0</v>
      </c>
      <c r="DH187" s="23">
        <f>EXP(-LN(2)/2)*DH186+(1-EXP(-LN(2)/2))/(LN(2)/2)*DB187*DE187*VLOOKUP('Données projet'!$B$13,Paramètres!$A$1:$I$89,3,0)*0.475*44/12</f>
        <v>0</v>
      </c>
      <c r="DI187" s="24">
        <f t="shared" si="175"/>
        <v>0</v>
      </c>
      <c r="DJ187" s="77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-1.1368683772161603E-13</v>
      </c>
      <c r="DP187" s="18">
        <f>DO187*VLOOKUP('Données projet'!$B$14,Paramètres!$A$1:$I$89,3,0)*VLOOKUP('Données projet'!$B$14,Paramètres!$A$1:$I$89,5,0)</f>
        <v>-1.0995790944434703E-13</v>
      </c>
      <c r="DQ187" s="14" t="e">
        <f t="shared" si="176"/>
        <v>#NUM!</v>
      </c>
      <c r="DR187" s="22" t="e">
        <f t="shared" si="177"/>
        <v>#NUM!</v>
      </c>
      <c r="DS187" s="60" t="e">
        <f t="shared" si="125"/>
        <v>#NUM!</v>
      </c>
      <c r="DT187" s="60">
        <f ca="1">AVERAGE(OFFSET($DS$3,0,0,'Données projet'!$E$14+1,1))-AVERAGE(OFFSET($H$3,0,0,'Données projet'!$E$14+1,1))</f>
        <v>562.69380557620775</v>
      </c>
      <c r="DU187" s="60">
        <f t="shared" si="152"/>
        <v>294.45557293177131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>
        <f>EXP(-LN(2)/35)*EA186+(1-EXP(-LN(2)/35))/(LN(2)/35)*DW187*DX187*VLOOKUP('Données projet'!$B$14,Paramètres!$A$1:$I$89,3,0)*0.475*44/12</f>
        <v>0</v>
      </c>
      <c r="EB187" s="23">
        <f>EXP(-LN(2)/25)*EB186+(1-EXP(-LN(2)/25))/(LN(2)/25)*Calculateur!DW187*Calculateur!DY187*VLOOKUP('Données projet'!$B$14,Paramètres!$A$1:$I$89,3,0)*0.475*44/12</f>
        <v>0</v>
      </c>
      <c r="EC187" s="23">
        <f>EXP(-LN(2)/2)*EC186+(1-EXP(-LN(2)/2))/(LN(2)/2)*DW187*DZ187*VLOOKUP('Données projet'!$B$14,Paramètres!$A$1:$I$89,3,0)*0.475*44/12</f>
        <v>0</v>
      </c>
      <c r="ED187" s="24">
        <f t="shared" si="178"/>
        <v>0</v>
      </c>
      <c r="EE187" s="77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1.1368683772161603E-13</v>
      </c>
      <c r="EK187" s="18">
        <f>EJ187*VLOOKUP('Données projet'!$B$15,Paramètres!$A$1:$I$89,3,0)*VLOOKUP('Données projet'!$B$15,Paramètres!$A$1:$I$89,5,0)</f>
        <v>8.8675733422860506E-14</v>
      </c>
      <c r="EL187" s="14">
        <f t="shared" si="179"/>
        <v>1.3509285393066301E-12</v>
      </c>
      <c r="EM187" s="22">
        <f t="shared" si="180"/>
        <v>2.5073107750038623E-12</v>
      </c>
      <c r="EN187" s="60">
        <f t="shared" si="128"/>
        <v>293.33333333333582</v>
      </c>
      <c r="EO187" s="60">
        <f ca="1">AVERAGE(OFFSET($EN$3,0,0,'Données projet'!$E$15+1,1))-AVERAGE(OFFSET($H$3,0,0,'Données projet'!$E$15+1,1))</f>
        <v>292.57482726862594</v>
      </c>
      <c r="EP187" s="60">
        <f t="shared" si="154"/>
        <v>283.48738729114024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>
        <f>EXP(-LN(2)/35)*EV186+(1-EXP(-LN(2)/35))/(LN(2)/35)*ER187*ES187*VLOOKUP('Données projet'!$B$15,Paramètres!$A$1:$I$89,3,0)*0.475*44/12</f>
        <v>0</v>
      </c>
      <c r="EW187" s="23">
        <f>EXP(-LN(2)/25)*EW186+(1-EXP(-LN(2)/25))/(LN(2)/25)*Calculateur!ER187*Calculateur!ET187*VLOOKUP('Données projet'!$B$15,Paramètres!$A$1:$I$89,3,0)*0.475*44/12</f>
        <v>0</v>
      </c>
      <c r="EX187" s="23">
        <f>EXP(-LN(2)/2)*EX186+(1-EXP(-LN(2)/2))/(LN(2)/2)*ER187*EU187*VLOOKUP('Données projet'!$B$15,Paramètres!$A$1:$I$89,3,0)*0.475*44/12</f>
        <v>0</v>
      </c>
      <c r="EY187" s="24">
        <f t="shared" si="181"/>
        <v>0</v>
      </c>
      <c r="EZ187" s="77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0" t="e">
        <f t="shared" si="131"/>
        <v>#N/A</v>
      </c>
      <c r="FJ187" s="60" t="e">
        <f ca="1">AVERAGE(OFFSET($FI$3,0,0,'Données projet'!$E$16+1,1))-AVERAGE(OFFSET($H$3,0,0,'Données projet'!$E$16+1,1))</f>
        <v>#N/A</v>
      </c>
      <c r="FK187" s="60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77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0" t="e">
        <f t="shared" si="134"/>
        <v>#N/A</v>
      </c>
      <c r="GE187" s="60" t="e">
        <f ca="1">AVERAGE(OFFSET($GD$3,0,0,'Données projet'!$E$17+1,1))-AVERAGE(OFFSET($H$3,0,0,'Données projet'!$E$17+1,1))</f>
        <v>#N/A</v>
      </c>
      <c r="GF187" s="60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77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0" t="e">
        <f t="shared" si="137"/>
        <v>#N/A</v>
      </c>
      <c r="GZ187" s="60" t="e">
        <f ca="1">AVERAGE(OFFSET($GY$3,0,0,'Données projet'!$E$18+1,1))-AVERAGE(OFFSET($H$3,0,0,'Données projet'!$E$18+1,1))</f>
        <v>#N/A</v>
      </c>
      <c r="HA187" s="60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25">
      <c r="A188" s="11">
        <f t="shared" si="161"/>
        <v>185</v>
      </c>
      <c r="B188" s="74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2">
        <f t="shared" si="140"/>
        <v>0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0</v>
      </c>
      <c r="H188" s="67">
        <f t="shared" si="110"/>
        <v>256.66666666666669</v>
      </c>
      <c r="I188" s="7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1.1368683772161603E-13</v>
      </c>
      <c r="O188" s="14">
        <f>N188*VLOOKUP('Données projet'!$B$9,Paramètres!$A$1:$I$89,3,0)*VLOOKUP('Données projet'!$B$9,Paramètres!$A$1:$I$89,5,0)</f>
        <v>1.0818439477588981E-13</v>
      </c>
      <c r="P188" s="14">
        <f t="shared" si="141"/>
        <v>1.6104228458716316E-12</v>
      </c>
      <c r="Q188" s="22">
        <f t="shared" si="162"/>
        <v>2.9932409441277661E-12</v>
      </c>
      <c r="R188" s="60">
        <f t="shared" si="109"/>
        <v>293.33333333333633</v>
      </c>
      <c r="S188" s="60">
        <f ca="1">AVERAGE(OFFSET($R$3,0,0,'Données projet'!$E$9+1,1))-AVERAGE(OFFSET($H$3,0,0,'Données projet'!$E$9+1,1))</f>
        <v>403.49781966317852</v>
      </c>
      <c r="T188" s="60">
        <f t="shared" si="142"/>
        <v>326.06674572505409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0</v>
      </c>
      <c r="AA188" s="23">
        <f>EXP(-LN(2)/25)*AA187+(1-EXP(-LN(2)/25))/(LN(2)/25)*Calculateur!V188*Calculateur!X188*VLOOKUP('Données projet'!$B$9,Paramètres!$A$1:$I$89,3,0)*0.475*44/12</f>
        <v>0</v>
      </c>
      <c r="AB188" s="23">
        <f>EXP(-LN(2)/2)*AB187+(1-EXP(-LN(2)/2))/(LN(2)/2)*V188*Y188*VLOOKUP('Données projet'!$B$9,Paramètres!$A$1:$I$89,3,0)*0.475*44/12</f>
        <v>0</v>
      </c>
      <c r="AC188" s="24">
        <f t="shared" si="163"/>
        <v>0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-1.1368683772161603E-13</v>
      </c>
      <c r="AJ188" s="14">
        <f>AI188*VLOOKUP('Données projet'!$B$10,Paramètres!$A$1:$I$89,3,0)*VLOOKUP('Données projet'!$B$10,Paramètres!$A$1:$I$89,5,0)</f>
        <v>-9.9316821433603781E-14</v>
      </c>
      <c r="AK188" s="14" t="e">
        <f t="shared" si="164"/>
        <v>#NUM!</v>
      </c>
      <c r="AL188" s="22" t="e">
        <f t="shared" si="165"/>
        <v>#NUM!</v>
      </c>
      <c r="AM188" s="60" t="e">
        <f t="shared" si="113"/>
        <v>#NUM!</v>
      </c>
      <c r="AN188" s="60">
        <f ca="1">AVERAGE(OFFSET($AM$3,0,0,'Données projet'!$E$10+1,1))-AVERAGE(OFFSET($H$3,0,0,'Données projet'!$E$10+1,1))</f>
        <v>274.66236526869056</v>
      </c>
      <c r="AO188" s="60">
        <f t="shared" si="144"/>
        <v>256.90876395053073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>
        <f>EXP(-LN(2)/35)*AU187+(1-EXP(-LN(2)/35))/(LN(2)/35)*AQ188*AR188*VLOOKUP('Données projet'!$B$10,Paramètres!$A$1:$I$89,3,0)*0.475*44/12</f>
        <v>0</v>
      </c>
      <c r="AV188" s="23">
        <f>EXP(-LN(2)/25)*AV187+(1-EXP(-LN(2)/25))/(LN(2)/25)*Calculateur!AQ188*Calculateur!AS188*VLOOKUP('Données projet'!$B$10,Paramètres!$A$1:$I$89,3,0)*0.475*44/12</f>
        <v>0</v>
      </c>
      <c r="AW188" s="23">
        <f>EXP(-LN(2)/2)*AW187+(1-EXP(-LN(2)/2))/(LN(2)/2)*AQ188*AT188*VLOOKUP('Données projet'!$B$10,Paramètres!$A$1:$I$89,3,0)*0.475*44/12</f>
        <v>0</v>
      </c>
      <c r="AX188" s="23">
        <f t="shared" si="166"/>
        <v>0</v>
      </c>
      <c r="AY188" s="76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-1.1368683772161603E-13</v>
      </c>
      <c r="BE188" s="14">
        <f>BD188*VLOOKUP('Données projet'!$B$11,Paramètres!$A$1:$I$89,3,0)*VLOOKUP('Données projet'!$B$11,Paramètres!$A$1:$I$89,5,0)</f>
        <v>-1.0286385077051818E-13</v>
      </c>
      <c r="BF188" s="14" t="e">
        <f t="shared" si="167"/>
        <v>#NUM!</v>
      </c>
      <c r="BG188" s="22" t="e">
        <f t="shared" si="168"/>
        <v>#NUM!</v>
      </c>
      <c r="BH188" s="60" t="e">
        <f t="shared" si="116"/>
        <v>#NUM!</v>
      </c>
      <c r="BI188" s="60">
        <f ca="1">AVERAGE(OFFSET($BH$3,0,0,'Données projet'!$E$11+1,1))-AVERAGE(OFFSET($H$3,0,0,'Données projet'!$E$11+1,1))</f>
        <v>529.25712986118265</v>
      </c>
      <c r="BJ188" s="60">
        <f t="shared" si="146"/>
        <v>278.21741231699929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>
        <f>EXP(-LN(2)/35)*BP187+(1-EXP(-LN(2)/35))/(LN(2)/35)*BL188*BM188*VLOOKUP('Données projet'!$B$11,Paramètres!$A$1:$I$89,3,0)*0.475*44/12</f>
        <v>0</v>
      </c>
      <c r="BQ188" s="23">
        <f>EXP(-LN(2)/25)*BQ187+(1-EXP(-LN(2)/25))/(LN(2)/25)*Calculateur!BL188*Calculateur!BN188*VLOOKUP('Données projet'!$B$11,Paramètres!$A$1:$I$89,3,0)*0.475*44/12</f>
        <v>0</v>
      </c>
      <c r="BR188" s="23">
        <f>EXP(-LN(2)/2)*BR187+(1-EXP(-LN(2)/2))/(LN(2)/2)*BL188*BO188*VLOOKUP('Données projet'!$B$11,Paramètres!$A$1:$I$89,3,0)*0.475*44/12</f>
        <v>0</v>
      </c>
      <c r="BS188" s="24">
        <f t="shared" si="169"/>
        <v>0</v>
      </c>
      <c r="BT188" s="77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-1.1368683772161603E-13</v>
      </c>
      <c r="BZ188" s="14">
        <f>BY188*VLOOKUP('Données projet'!$B$12,Paramètres!$A$1:$I$89,3,0)*VLOOKUP('Données projet'!$B$12,Paramètres!$A$1:$I$89,5,0)</f>
        <v>-1.1527845344971866E-13</v>
      </c>
      <c r="CA188" s="14" t="e">
        <f t="shared" si="170"/>
        <v>#NUM!</v>
      </c>
      <c r="CB188" s="22" t="e">
        <f t="shared" si="171"/>
        <v>#NUM!</v>
      </c>
      <c r="CC188" s="60" t="e">
        <f t="shared" si="119"/>
        <v>#NUM!</v>
      </c>
      <c r="CD188" s="60">
        <f ca="1">AVERAGE(OFFSET($CC$3,0,0,'Données projet'!$E$12+1,1))-AVERAGE(OFFSET($H$3,0,0,'Données projet'!$E$12+1,1))</f>
        <v>587.74247372331615</v>
      </c>
      <c r="CE188" s="60">
        <f t="shared" si="148"/>
        <v>306.61893266146666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>
        <f>EXP(-LN(2)/35)*CK187+(1-EXP(-LN(2)/35))/(LN(2)/35)*CG188*CH188*VLOOKUP('Données projet'!$B$12,Paramètres!$A$1:$I$89,3,0)*0.475*44/12</f>
        <v>0</v>
      </c>
      <c r="CL188" s="23">
        <f>EXP(-LN(2)/25)*CL187+(1-EXP(-LN(2)/25))/(LN(2)/25)*Calculateur!CG188*Calculateur!CI188*VLOOKUP('Données projet'!$B$12,Paramètres!$A$1:$I$89,3,0)*0.475*44/12</f>
        <v>0</v>
      </c>
      <c r="CM188" s="23">
        <f>EXP(-LN(2)/2)*CM187+(1-EXP(-LN(2)/2))/(LN(2)/2)*CG188*CJ188*VLOOKUP('Données projet'!$B$12,Paramètres!$A$1:$I$89,3,0)*0.475*44/12</f>
        <v>0</v>
      </c>
      <c r="CN188" s="24">
        <f t="shared" si="172"/>
        <v>0</v>
      </c>
      <c r="CO188" s="77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-1.1368683772161603E-13</v>
      </c>
      <c r="CU188" s="18">
        <f>CT188*VLOOKUP('Données projet'!$B$13,Paramètres!$A$1:$I$89,3,0)*VLOOKUP('Données projet'!$B$13,Paramètres!$A$1:$I$89,5,0)</f>
        <v>-1.223725121235475E-13</v>
      </c>
      <c r="CV188" s="14" t="e">
        <f t="shared" si="173"/>
        <v>#NUM!</v>
      </c>
      <c r="CW188" s="22" t="e">
        <f t="shared" si="174"/>
        <v>#NUM!</v>
      </c>
      <c r="CX188" s="60" t="e">
        <f t="shared" si="122"/>
        <v>#NUM!</v>
      </c>
      <c r="CY188" s="60">
        <f ca="1">AVERAGE(OFFSET($CX$3,0,0,'Données projet'!$E$13+1,1))-AVERAGE(OFFSET($H$3,0,0,'Données projet'!$E$13+1,1))</f>
        <v>621.10465023992288</v>
      </c>
      <c r="CZ188" s="60">
        <f t="shared" si="150"/>
        <v>322.81767004794284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>
        <f>EXP(-LN(2)/35)*DF187+(1-EXP(-LN(2)/35))/(LN(2)/35)*DB188*DC188*VLOOKUP('Données projet'!$B$13,Paramètres!$A$1:$I$89,3,0)*0.475*44/12</f>
        <v>0</v>
      </c>
      <c r="DG188" s="23">
        <f>EXP(-LN(2)/25)*DG187+(1-EXP(-LN(2)/25))/(LN(2)/25)*Calculateur!DB188*Calculateur!DD188*VLOOKUP('Données projet'!$B$13,Paramètres!$A$1:$I$89,3,0)*0.475*44/12</f>
        <v>0</v>
      </c>
      <c r="DH188" s="23">
        <f>EXP(-LN(2)/2)*DH187+(1-EXP(-LN(2)/2))/(LN(2)/2)*DB188*DE188*VLOOKUP('Données projet'!$B$13,Paramètres!$A$1:$I$89,3,0)*0.475*44/12</f>
        <v>0</v>
      </c>
      <c r="DI188" s="24">
        <f t="shared" si="175"/>
        <v>0</v>
      </c>
      <c r="DJ188" s="77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-1.1368683772161603E-13</v>
      </c>
      <c r="DP188" s="18">
        <f>DO188*VLOOKUP('Données projet'!$B$14,Paramètres!$A$1:$I$89,3,0)*VLOOKUP('Données projet'!$B$14,Paramètres!$A$1:$I$89,5,0)</f>
        <v>-1.0995790944434703E-13</v>
      </c>
      <c r="DQ188" s="14" t="e">
        <f t="shared" si="176"/>
        <v>#NUM!</v>
      </c>
      <c r="DR188" s="22" t="e">
        <f t="shared" si="177"/>
        <v>#NUM!</v>
      </c>
      <c r="DS188" s="60" t="e">
        <f t="shared" si="125"/>
        <v>#NUM!</v>
      </c>
      <c r="DT188" s="60">
        <f ca="1">AVERAGE(OFFSET($DS$3,0,0,'Données projet'!$E$14+1,1))-AVERAGE(OFFSET($H$3,0,0,'Données projet'!$E$14+1,1))</f>
        <v>562.69380557620775</v>
      </c>
      <c r="DU188" s="60">
        <f t="shared" si="152"/>
        <v>294.45557293177131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>
        <f>EXP(-LN(2)/35)*EA187+(1-EXP(-LN(2)/35))/(LN(2)/35)*DW188*DX188*VLOOKUP('Données projet'!$B$14,Paramètres!$A$1:$I$89,3,0)*0.475*44/12</f>
        <v>0</v>
      </c>
      <c r="EB188" s="23">
        <f>EXP(-LN(2)/25)*EB187+(1-EXP(-LN(2)/25))/(LN(2)/25)*Calculateur!DW188*Calculateur!DY188*VLOOKUP('Données projet'!$B$14,Paramètres!$A$1:$I$89,3,0)*0.475*44/12</f>
        <v>0</v>
      </c>
      <c r="EC188" s="23">
        <f>EXP(-LN(2)/2)*EC187+(1-EXP(-LN(2)/2))/(LN(2)/2)*DW188*DZ188*VLOOKUP('Données projet'!$B$14,Paramètres!$A$1:$I$89,3,0)*0.475*44/12</f>
        <v>0</v>
      </c>
      <c r="ED188" s="24">
        <f t="shared" si="178"/>
        <v>0</v>
      </c>
      <c r="EE188" s="77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1.1368683772161603E-13</v>
      </c>
      <c r="EK188" s="18">
        <f>EJ188*VLOOKUP('Données projet'!$B$15,Paramètres!$A$1:$I$89,3,0)*VLOOKUP('Données projet'!$B$15,Paramètres!$A$1:$I$89,5,0)</f>
        <v>8.8675733422860506E-14</v>
      </c>
      <c r="EL188" s="14">
        <f t="shared" si="179"/>
        <v>1.3509285393066301E-12</v>
      </c>
      <c r="EM188" s="22">
        <f t="shared" si="180"/>
        <v>2.5073107750038623E-12</v>
      </c>
      <c r="EN188" s="60">
        <f t="shared" si="128"/>
        <v>293.33333333333582</v>
      </c>
      <c r="EO188" s="60">
        <f ca="1">AVERAGE(OFFSET($EN$3,0,0,'Données projet'!$E$15+1,1))-AVERAGE(OFFSET($H$3,0,0,'Données projet'!$E$15+1,1))</f>
        <v>292.57482726862594</v>
      </c>
      <c r="EP188" s="60">
        <f t="shared" si="154"/>
        <v>283.48738729114024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>
        <f>EXP(-LN(2)/35)*EV187+(1-EXP(-LN(2)/35))/(LN(2)/35)*ER188*ES188*VLOOKUP('Données projet'!$B$15,Paramètres!$A$1:$I$89,3,0)*0.475*44/12</f>
        <v>0</v>
      </c>
      <c r="EW188" s="23">
        <f>EXP(-LN(2)/25)*EW187+(1-EXP(-LN(2)/25))/(LN(2)/25)*Calculateur!ER188*Calculateur!ET188*VLOOKUP('Données projet'!$B$15,Paramètres!$A$1:$I$89,3,0)*0.475*44/12</f>
        <v>0</v>
      </c>
      <c r="EX188" s="23">
        <f>EXP(-LN(2)/2)*EX187+(1-EXP(-LN(2)/2))/(LN(2)/2)*ER188*EU188*VLOOKUP('Données projet'!$B$15,Paramètres!$A$1:$I$89,3,0)*0.475*44/12</f>
        <v>0</v>
      </c>
      <c r="EY188" s="24">
        <f t="shared" si="181"/>
        <v>0</v>
      </c>
      <c r="EZ188" s="77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0" t="e">
        <f t="shared" si="131"/>
        <v>#N/A</v>
      </c>
      <c r="FJ188" s="60" t="e">
        <f ca="1">AVERAGE(OFFSET($FI$3,0,0,'Données projet'!$E$16+1,1))-AVERAGE(OFFSET($H$3,0,0,'Données projet'!$E$16+1,1))</f>
        <v>#N/A</v>
      </c>
      <c r="FK188" s="60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77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0" t="e">
        <f t="shared" si="134"/>
        <v>#N/A</v>
      </c>
      <c r="GE188" s="60" t="e">
        <f ca="1">AVERAGE(OFFSET($GD$3,0,0,'Données projet'!$E$17+1,1))-AVERAGE(OFFSET($H$3,0,0,'Données projet'!$E$17+1,1))</f>
        <v>#N/A</v>
      </c>
      <c r="GF188" s="60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77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0" t="e">
        <f t="shared" si="137"/>
        <v>#N/A</v>
      </c>
      <c r="GZ188" s="60" t="e">
        <f ca="1">AVERAGE(OFFSET($GY$3,0,0,'Données projet'!$E$18+1,1))-AVERAGE(OFFSET($H$3,0,0,'Données projet'!$E$18+1,1))</f>
        <v>#N/A</v>
      </c>
      <c r="HA188" s="60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25">
      <c r="A189" s="11">
        <f t="shared" si="161"/>
        <v>186</v>
      </c>
      <c r="B189" s="74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2">
        <f t="shared" si="140"/>
        <v>0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0</v>
      </c>
      <c r="H189" s="67">
        <f t="shared" si="110"/>
        <v>256.66666666666669</v>
      </c>
      <c r="I189" s="7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1.1368683772161603E-13</v>
      </c>
      <c r="O189" s="14">
        <f>N189*VLOOKUP('Données projet'!$B$9,Paramètres!$A$1:$I$89,3,0)*VLOOKUP('Données projet'!$B$9,Paramètres!$A$1:$I$89,5,0)</f>
        <v>1.0818439477588981E-13</v>
      </c>
      <c r="P189" s="14">
        <f t="shared" si="141"/>
        <v>1.6104228458716316E-12</v>
      </c>
      <c r="Q189" s="22">
        <f t="shared" si="162"/>
        <v>2.9932409441277661E-12</v>
      </c>
      <c r="R189" s="60">
        <f t="shared" si="109"/>
        <v>293.33333333333633</v>
      </c>
      <c r="S189" s="60">
        <f ca="1">AVERAGE(OFFSET($R$3,0,0,'Données projet'!$E$9+1,1))-AVERAGE(OFFSET($H$3,0,0,'Données projet'!$E$9+1,1))</f>
        <v>403.49781966317852</v>
      </c>
      <c r="T189" s="60">
        <f t="shared" si="142"/>
        <v>326.06674572505409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0</v>
      </c>
      <c r="AA189" s="23">
        <f>EXP(-LN(2)/25)*AA188+(1-EXP(-LN(2)/25))/(LN(2)/25)*Calculateur!V189*Calculateur!X189*VLOOKUP('Données projet'!$B$9,Paramètres!$A$1:$I$89,3,0)*0.475*44/12</f>
        <v>0</v>
      </c>
      <c r="AB189" s="23">
        <f>EXP(-LN(2)/2)*AB188+(1-EXP(-LN(2)/2))/(LN(2)/2)*V189*Y189*VLOOKUP('Données projet'!$B$9,Paramètres!$A$1:$I$89,3,0)*0.475*44/12</f>
        <v>0</v>
      </c>
      <c r="AC189" s="24">
        <f t="shared" si="163"/>
        <v>0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-1.1368683772161603E-13</v>
      </c>
      <c r="AJ189" s="14">
        <f>AI189*VLOOKUP('Données projet'!$B$10,Paramètres!$A$1:$I$89,3,0)*VLOOKUP('Données projet'!$B$10,Paramètres!$A$1:$I$89,5,0)</f>
        <v>-9.9316821433603781E-14</v>
      </c>
      <c r="AK189" s="14" t="e">
        <f t="shared" si="164"/>
        <v>#NUM!</v>
      </c>
      <c r="AL189" s="22" t="e">
        <f t="shared" si="165"/>
        <v>#NUM!</v>
      </c>
      <c r="AM189" s="60" t="e">
        <f t="shared" si="113"/>
        <v>#NUM!</v>
      </c>
      <c r="AN189" s="60">
        <f ca="1">AVERAGE(OFFSET($AM$3,0,0,'Données projet'!$E$10+1,1))-AVERAGE(OFFSET($H$3,0,0,'Données projet'!$E$10+1,1))</f>
        <v>274.66236526869056</v>
      </c>
      <c r="AO189" s="60">
        <f t="shared" si="144"/>
        <v>256.90876395053073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>
        <f>EXP(-LN(2)/35)*AU188+(1-EXP(-LN(2)/35))/(LN(2)/35)*AQ189*AR189*VLOOKUP('Données projet'!$B$10,Paramètres!$A$1:$I$89,3,0)*0.475*44/12</f>
        <v>0</v>
      </c>
      <c r="AV189" s="23">
        <f>EXP(-LN(2)/25)*AV188+(1-EXP(-LN(2)/25))/(LN(2)/25)*Calculateur!AQ189*Calculateur!AS189*VLOOKUP('Données projet'!$B$10,Paramètres!$A$1:$I$89,3,0)*0.475*44/12</f>
        <v>0</v>
      </c>
      <c r="AW189" s="23">
        <f>EXP(-LN(2)/2)*AW188+(1-EXP(-LN(2)/2))/(LN(2)/2)*AQ189*AT189*VLOOKUP('Données projet'!$B$10,Paramètres!$A$1:$I$89,3,0)*0.475*44/12</f>
        <v>0</v>
      </c>
      <c r="AX189" s="23">
        <f t="shared" si="166"/>
        <v>0</v>
      </c>
      <c r="AY189" s="76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-1.1368683772161603E-13</v>
      </c>
      <c r="BE189" s="14">
        <f>BD189*VLOOKUP('Données projet'!$B$11,Paramètres!$A$1:$I$89,3,0)*VLOOKUP('Données projet'!$B$11,Paramètres!$A$1:$I$89,5,0)</f>
        <v>-1.0286385077051818E-13</v>
      </c>
      <c r="BF189" s="14" t="e">
        <f t="shared" si="167"/>
        <v>#NUM!</v>
      </c>
      <c r="BG189" s="22" t="e">
        <f t="shared" si="168"/>
        <v>#NUM!</v>
      </c>
      <c r="BH189" s="60" t="e">
        <f t="shared" si="116"/>
        <v>#NUM!</v>
      </c>
      <c r="BI189" s="60">
        <f ca="1">AVERAGE(OFFSET($BH$3,0,0,'Données projet'!$E$11+1,1))-AVERAGE(OFFSET($H$3,0,0,'Données projet'!$E$11+1,1))</f>
        <v>529.25712986118265</v>
      </c>
      <c r="BJ189" s="60">
        <f t="shared" si="146"/>
        <v>278.21741231699929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>
        <f>EXP(-LN(2)/35)*BP188+(1-EXP(-LN(2)/35))/(LN(2)/35)*BL189*BM189*VLOOKUP('Données projet'!$B$11,Paramètres!$A$1:$I$89,3,0)*0.475*44/12</f>
        <v>0</v>
      </c>
      <c r="BQ189" s="23">
        <f>EXP(-LN(2)/25)*BQ188+(1-EXP(-LN(2)/25))/(LN(2)/25)*Calculateur!BL189*Calculateur!BN189*VLOOKUP('Données projet'!$B$11,Paramètres!$A$1:$I$89,3,0)*0.475*44/12</f>
        <v>0</v>
      </c>
      <c r="BR189" s="23">
        <f>EXP(-LN(2)/2)*BR188+(1-EXP(-LN(2)/2))/(LN(2)/2)*BL189*BO189*VLOOKUP('Données projet'!$B$11,Paramètres!$A$1:$I$89,3,0)*0.475*44/12</f>
        <v>0</v>
      </c>
      <c r="BS189" s="24">
        <f t="shared" si="169"/>
        <v>0</v>
      </c>
      <c r="BT189" s="77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-1.1368683772161603E-13</v>
      </c>
      <c r="BZ189" s="14">
        <f>BY189*VLOOKUP('Données projet'!$B$12,Paramètres!$A$1:$I$89,3,0)*VLOOKUP('Données projet'!$B$12,Paramètres!$A$1:$I$89,5,0)</f>
        <v>-1.1527845344971866E-13</v>
      </c>
      <c r="CA189" s="14" t="e">
        <f t="shared" si="170"/>
        <v>#NUM!</v>
      </c>
      <c r="CB189" s="22" t="e">
        <f t="shared" si="171"/>
        <v>#NUM!</v>
      </c>
      <c r="CC189" s="60" t="e">
        <f t="shared" si="119"/>
        <v>#NUM!</v>
      </c>
      <c r="CD189" s="60">
        <f ca="1">AVERAGE(OFFSET($CC$3,0,0,'Données projet'!$E$12+1,1))-AVERAGE(OFFSET($H$3,0,0,'Données projet'!$E$12+1,1))</f>
        <v>587.74247372331615</v>
      </c>
      <c r="CE189" s="60">
        <f t="shared" si="148"/>
        <v>306.61893266146666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>
        <f>EXP(-LN(2)/35)*CK188+(1-EXP(-LN(2)/35))/(LN(2)/35)*CG189*CH189*VLOOKUP('Données projet'!$B$12,Paramètres!$A$1:$I$89,3,0)*0.475*44/12</f>
        <v>0</v>
      </c>
      <c r="CL189" s="23">
        <f>EXP(-LN(2)/25)*CL188+(1-EXP(-LN(2)/25))/(LN(2)/25)*Calculateur!CG189*Calculateur!CI189*VLOOKUP('Données projet'!$B$12,Paramètres!$A$1:$I$89,3,0)*0.475*44/12</f>
        <v>0</v>
      </c>
      <c r="CM189" s="23">
        <f>EXP(-LN(2)/2)*CM188+(1-EXP(-LN(2)/2))/(LN(2)/2)*CG189*CJ189*VLOOKUP('Données projet'!$B$12,Paramètres!$A$1:$I$89,3,0)*0.475*44/12</f>
        <v>0</v>
      </c>
      <c r="CN189" s="24">
        <f t="shared" si="172"/>
        <v>0</v>
      </c>
      <c r="CO189" s="77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-1.1368683772161603E-13</v>
      </c>
      <c r="CU189" s="18">
        <f>CT189*VLOOKUP('Données projet'!$B$13,Paramètres!$A$1:$I$89,3,0)*VLOOKUP('Données projet'!$B$13,Paramètres!$A$1:$I$89,5,0)</f>
        <v>-1.223725121235475E-13</v>
      </c>
      <c r="CV189" s="14" t="e">
        <f t="shared" si="173"/>
        <v>#NUM!</v>
      </c>
      <c r="CW189" s="22" t="e">
        <f t="shared" si="174"/>
        <v>#NUM!</v>
      </c>
      <c r="CX189" s="60" t="e">
        <f t="shared" si="122"/>
        <v>#NUM!</v>
      </c>
      <c r="CY189" s="60">
        <f ca="1">AVERAGE(OFFSET($CX$3,0,0,'Données projet'!$E$13+1,1))-AVERAGE(OFFSET($H$3,0,0,'Données projet'!$E$13+1,1))</f>
        <v>621.10465023992288</v>
      </c>
      <c r="CZ189" s="60">
        <f t="shared" si="150"/>
        <v>322.81767004794284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>
        <f>EXP(-LN(2)/35)*DF188+(1-EXP(-LN(2)/35))/(LN(2)/35)*DB189*DC189*VLOOKUP('Données projet'!$B$13,Paramètres!$A$1:$I$89,3,0)*0.475*44/12</f>
        <v>0</v>
      </c>
      <c r="DG189" s="23">
        <f>EXP(-LN(2)/25)*DG188+(1-EXP(-LN(2)/25))/(LN(2)/25)*Calculateur!DB189*Calculateur!DD189*VLOOKUP('Données projet'!$B$13,Paramètres!$A$1:$I$89,3,0)*0.475*44/12</f>
        <v>0</v>
      </c>
      <c r="DH189" s="23">
        <f>EXP(-LN(2)/2)*DH188+(1-EXP(-LN(2)/2))/(LN(2)/2)*DB189*DE189*VLOOKUP('Données projet'!$B$13,Paramètres!$A$1:$I$89,3,0)*0.475*44/12</f>
        <v>0</v>
      </c>
      <c r="DI189" s="24">
        <f t="shared" si="175"/>
        <v>0</v>
      </c>
      <c r="DJ189" s="77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-1.1368683772161603E-13</v>
      </c>
      <c r="DP189" s="18">
        <f>DO189*VLOOKUP('Données projet'!$B$14,Paramètres!$A$1:$I$89,3,0)*VLOOKUP('Données projet'!$B$14,Paramètres!$A$1:$I$89,5,0)</f>
        <v>-1.0995790944434703E-13</v>
      </c>
      <c r="DQ189" s="14" t="e">
        <f t="shared" si="176"/>
        <v>#NUM!</v>
      </c>
      <c r="DR189" s="22" t="e">
        <f t="shared" si="177"/>
        <v>#NUM!</v>
      </c>
      <c r="DS189" s="60" t="e">
        <f t="shared" si="125"/>
        <v>#NUM!</v>
      </c>
      <c r="DT189" s="60">
        <f ca="1">AVERAGE(OFFSET($DS$3,0,0,'Données projet'!$E$14+1,1))-AVERAGE(OFFSET($H$3,0,0,'Données projet'!$E$14+1,1))</f>
        <v>562.69380557620775</v>
      </c>
      <c r="DU189" s="60">
        <f t="shared" si="152"/>
        <v>294.45557293177131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>
        <f>EXP(-LN(2)/35)*EA188+(1-EXP(-LN(2)/35))/(LN(2)/35)*DW189*DX189*VLOOKUP('Données projet'!$B$14,Paramètres!$A$1:$I$89,3,0)*0.475*44/12</f>
        <v>0</v>
      </c>
      <c r="EB189" s="23">
        <f>EXP(-LN(2)/25)*EB188+(1-EXP(-LN(2)/25))/(LN(2)/25)*Calculateur!DW189*Calculateur!DY189*VLOOKUP('Données projet'!$B$14,Paramètres!$A$1:$I$89,3,0)*0.475*44/12</f>
        <v>0</v>
      </c>
      <c r="EC189" s="23">
        <f>EXP(-LN(2)/2)*EC188+(1-EXP(-LN(2)/2))/(LN(2)/2)*DW189*DZ189*VLOOKUP('Données projet'!$B$14,Paramètres!$A$1:$I$89,3,0)*0.475*44/12</f>
        <v>0</v>
      </c>
      <c r="ED189" s="24">
        <f t="shared" si="178"/>
        <v>0</v>
      </c>
      <c r="EE189" s="77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1.1368683772161603E-13</v>
      </c>
      <c r="EK189" s="18">
        <f>EJ189*VLOOKUP('Données projet'!$B$15,Paramètres!$A$1:$I$89,3,0)*VLOOKUP('Données projet'!$B$15,Paramètres!$A$1:$I$89,5,0)</f>
        <v>8.8675733422860506E-14</v>
      </c>
      <c r="EL189" s="14">
        <f t="shared" si="179"/>
        <v>1.3509285393066301E-12</v>
      </c>
      <c r="EM189" s="22">
        <f t="shared" si="180"/>
        <v>2.5073107750038623E-12</v>
      </c>
      <c r="EN189" s="60">
        <f t="shared" si="128"/>
        <v>293.33333333333582</v>
      </c>
      <c r="EO189" s="60">
        <f ca="1">AVERAGE(OFFSET($EN$3,0,0,'Données projet'!$E$15+1,1))-AVERAGE(OFFSET($H$3,0,0,'Données projet'!$E$15+1,1))</f>
        <v>292.57482726862594</v>
      </c>
      <c r="EP189" s="60">
        <f t="shared" si="154"/>
        <v>283.48738729114024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>
        <f>EXP(-LN(2)/35)*EV188+(1-EXP(-LN(2)/35))/(LN(2)/35)*ER189*ES189*VLOOKUP('Données projet'!$B$15,Paramètres!$A$1:$I$89,3,0)*0.475*44/12</f>
        <v>0</v>
      </c>
      <c r="EW189" s="23">
        <f>EXP(-LN(2)/25)*EW188+(1-EXP(-LN(2)/25))/(LN(2)/25)*Calculateur!ER189*Calculateur!ET189*VLOOKUP('Données projet'!$B$15,Paramètres!$A$1:$I$89,3,0)*0.475*44/12</f>
        <v>0</v>
      </c>
      <c r="EX189" s="23">
        <f>EXP(-LN(2)/2)*EX188+(1-EXP(-LN(2)/2))/(LN(2)/2)*ER189*EU189*VLOOKUP('Données projet'!$B$15,Paramètres!$A$1:$I$89,3,0)*0.475*44/12</f>
        <v>0</v>
      </c>
      <c r="EY189" s="24">
        <f t="shared" si="181"/>
        <v>0</v>
      </c>
      <c r="EZ189" s="77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0" t="e">
        <f t="shared" si="131"/>
        <v>#N/A</v>
      </c>
      <c r="FJ189" s="60" t="e">
        <f ca="1">AVERAGE(OFFSET($FI$3,0,0,'Données projet'!$E$16+1,1))-AVERAGE(OFFSET($H$3,0,0,'Données projet'!$E$16+1,1))</f>
        <v>#N/A</v>
      </c>
      <c r="FK189" s="60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77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0" t="e">
        <f t="shared" si="134"/>
        <v>#N/A</v>
      </c>
      <c r="GE189" s="60" t="e">
        <f ca="1">AVERAGE(OFFSET($GD$3,0,0,'Données projet'!$E$17+1,1))-AVERAGE(OFFSET($H$3,0,0,'Données projet'!$E$17+1,1))</f>
        <v>#N/A</v>
      </c>
      <c r="GF189" s="60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77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0" t="e">
        <f t="shared" si="137"/>
        <v>#N/A</v>
      </c>
      <c r="GZ189" s="60" t="e">
        <f ca="1">AVERAGE(OFFSET($GY$3,0,0,'Données projet'!$E$18+1,1))-AVERAGE(OFFSET($H$3,0,0,'Données projet'!$E$18+1,1))</f>
        <v>#N/A</v>
      </c>
      <c r="HA189" s="60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25">
      <c r="A190" s="11">
        <f t="shared" si="161"/>
        <v>187</v>
      </c>
      <c r="B190" s="74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2">
        <f t="shared" si="140"/>
        <v>0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0</v>
      </c>
      <c r="H190" s="67">
        <f t="shared" si="110"/>
        <v>256.66666666666669</v>
      </c>
      <c r="I190" s="7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1.1368683772161603E-13</v>
      </c>
      <c r="O190" s="14">
        <f>N190*VLOOKUP('Données projet'!$B$9,Paramètres!$A$1:$I$89,3,0)*VLOOKUP('Données projet'!$B$9,Paramètres!$A$1:$I$89,5,0)</f>
        <v>1.0818439477588981E-13</v>
      </c>
      <c r="P190" s="14">
        <f t="shared" si="141"/>
        <v>1.6104228458716316E-12</v>
      </c>
      <c r="Q190" s="22">
        <f t="shared" si="162"/>
        <v>2.9932409441277661E-12</v>
      </c>
      <c r="R190" s="60">
        <f t="shared" si="109"/>
        <v>293.33333333333633</v>
      </c>
      <c r="S190" s="60">
        <f ca="1">AVERAGE(OFFSET($R$3,0,0,'Données projet'!$E$9+1,1))-AVERAGE(OFFSET($H$3,0,0,'Données projet'!$E$9+1,1))</f>
        <v>403.49781966317852</v>
      </c>
      <c r="T190" s="60">
        <f t="shared" si="142"/>
        <v>326.06674572505409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0</v>
      </c>
      <c r="AA190" s="23">
        <f>EXP(-LN(2)/25)*AA189+(1-EXP(-LN(2)/25))/(LN(2)/25)*Calculateur!V190*Calculateur!X190*VLOOKUP('Données projet'!$B$9,Paramètres!$A$1:$I$89,3,0)*0.475*44/12</f>
        <v>0</v>
      </c>
      <c r="AB190" s="23">
        <f>EXP(-LN(2)/2)*AB189+(1-EXP(-LN(2)/2))/(LN(2)/2)*V190*Y190*VLOOKUP('Données projet'!$B$9,Paramètres!$A$1:$I$89,3,0)*0.475*44/12</f>
        <v>0</v>
      </c>
      <c r="AC190" s="24">
        <f t="shared" si="163"/>
        <v>0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-1.1368683772161603E-13</v>
      </c>
      <c r="AJ190" s="14">
        <f>AI190*VLOOKUP('Données projet'!$B$10,Paramètres!$A$1:$I$89,3,0)*VLOOKUP('Données projet'!$B$10,Paramètres!$A$1:$I$89,5,0)</f>
        <v>-9.9316821433603781E-14</v>
      </c>
      <c r="AK190" s="14" t="e">
        <f t="shared" si="164"/>
        <v>#NUM!</v>
      </c>
      <c r="AL190" s="22" t="e">
        <f t="shared" si="165"/>
        <v>#NUM!</v>
      </c>
      <c r="AM190" s="60" t="e">
        <f t="shared" si="113"/>
        <v>#NUM!</v>
      </c>
      <c r="AN190" s="60">
        <f ca="1">AVERAGE(OFFSET($AM$3,0,0,'Données projet'!$E$10+1,1))-AVERAGE(OFFSET($H$3,0,0,'Données projet'!$E$10+1,1))</f>
        <v>274.66236526869056</v>
      </c>
      <c r="AO190" s="60">
        <f t="shared" si="144"/>
        <v>256.90876395053073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>
        <f>EXP(-LN(2)/35)*AU189+(1-EXP(-LN(2)/35))/(LN(2)/35)*AQ190*AR190*VLOOKUP('Données projet'!$B$10,Paramètres!$A$1:$I$89,3,0)*0.475*44/12</f>
        <v>0</v>
      </c>
      <c r="AV190" s="23">
        <f>EXP(-LN(2)/25)*AV189+(1-EXP(-LN(2)/25))/(LN(2)/25)*Calculateur!AQ190*Calculateur!AS190*VLOOKUP('Données projet'!$B$10,Paramètres!$A$1:$I$89,3,0)*0.475*44/12</f>
        <v>0</v>
      </c>
      <c r="AW190" s="23">
        <f>EXP(-LN(2)/2)*AW189+(1-EXP(-LN(2)/2))/(LN(2)/2)*AQ190*AT190*VLOOKUP('Données projet'!$B$10,Paramètres!$A$1:$I$89,3,0)*0.475*44/12</f>
        <v>0</v>
      </c>
      <c r="AX190" s="23">
        <f t="shared" si="166"/>
        <v>0</v>
      </c>
      <c r="AY190" s="76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-1.1368683772161603E-13</v>
      </c>
      <c r="BE190" s="14">
        <f>BD190*VLOOKUP('Données projet'!$B$11,Paramètres!$A$1:$I$89,3,0)*VLOOKUP('Données projet'!$B$11,Paramètres!$A$1:$I$89,5,0)</f>
        <v>-1.0286385077051818E-13</v>
      </c>
      <c r="BF190" s="14" t="e">
        <f t="shared" si="167"/>
        <v>#NUM!</v>
      </c>
      <c r="BG190" s="22" t="e">
        <f t="shared" si="168"/>
        <v>#NUM!</v>
      </c>
      <c r="BH190" s="60" t="e">
        <f t="shared" si="116"/>
        <v>#NUM!</v>
      </c>
      <c r="BI190" s="60">
        <f ca="1">AVERAGE(OFFSET($BH$3,0,0,'Données projet'!$E$11+1,1))-AVERAGE(OFFSET($H$3,0,0,'Données projet'!$E$11+1,1))</f>
        <v>529.25712986118265</v>
      </c>
      <c r="BJ190" s="60">
        <f t="shared" si="146"/>
        <v>278.21741231699929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>
        <f>EXP(-LN(2)/35)*BP189+(1-EXP(-LN(2)/35))/(LN(2)/35)*BL190*BM190*VLOOKUP('Données projet'!$B$11,Paramètres!$A$1:$I$89,3,0)*0.475*44/12</f>
        <v>0</v>
      </c>
      <c r="BQ190" s="23">
        <f>EXP(-LN(2)/25)*BQ189+(1-EXP(-LN(2)/25))/(LN(2)/25)*Calculateur!BL190*Calculateur!BN190*VLOOKUP('Données projet'!$B$11,Paramètres!$A$1:$I$89,3,0)*0.475*44/12</f>
        <v>0</v>
      </c>
      <c r="BR190" s="23">
        <f>EXP(-LN(2)/2)*BR189+(1-EXP(-LN(2)/2))/(LN(2)/2)*BL190*BO190*VLOOKUP('Données projet'!$B$11,Paramètres!$A$1:$I$89,3,0)*0.475*44/12</f>
        <v>0</v>
      </c>
      <c r="BS190" s="24">
        <f t="shared" si="169"/>
        <v>0</v>
      </c>
      <c r="BT190" s="77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-1.1368683772161603E-13</v>
      </c>
      <c r="BZ190" s="14">
        <f>BY190*VLOOKUP('Données projet'!$B$12,Paramètres!$A$1:$I$89,3,0)*VLOOKUP('Données projet'!$B$12,Paramètres!$A$1:$I$89,5,0)</f>
        <v>-1.1527845344971866E-13</v>
      </c>
      <c r="CA190" s="14" t="e">
        <f t="shared" si="170"/>
        <v>#NUM!</v>
      </c>
      <c r="CB190" s="22" t="e">
        <f t="shared" si="171"/>
        <v>#NUM!</v>
      </c>
      <c r="CC190" s="60" t="e">
        <f t="shared" si="119"/>
        <v>#NUM!</v>
      </c>
      <c r="CD190" s="60">
        <f ca="1">AVERAGE(OFFSET($CC$3,0,0,'Données projet'!$E$12+1,1))-AVERAGE(OFFSET($H$3,0,0,'Données projet'!$E$12+1,1))</f>
        <v>587.74247372331615</v>
      </c>
      <c r="CE190" s="60">
        <f t="shared" si="148"/>
        <v>306.61893266146666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>
        <f>EXP(-LN(2)/35)*CK189+(1-EXP(-LN(2)/35))/(LN(2)/35)*CG190*CH190*VLOOKUP('Données projet'!$B$12,Paramètres!$A$1:$I$89,3,0)*0.475*44/12</f>
        <v>0</v>
      </c>
      <c r="CL190" s="23">
        <f>EXP(-LN(2)/25)*CL189+(1-EXP(-LN(2)/25))/(LN(2)/25)*Calculateur!CG190*Calculateur!CI190*VLOOKUP('Données projet'!$B$12,Paramètres!$A$1:$I$89,3,0)*0.475*44/12</f>
        <v>0</v>
      </c>
      <c r="CM190" s="23">
        <f>EXP(-LN(2)/2)*CM189+(1-EXP(-LN(2)/2))/(LN(2)/2)*CG190*CJ190*VLOOKUP('Données projet'!$B$12,Paramètres!$A$1:$I$89,3,0)*0.475*44/12</f>
        <v>0</v>
      </c>
      <c r="CN190" s="24">
        <f t="shared" si="172"/>
        <v>0</v>
      </c>
      <c r="CO190" s="77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-1.1368683772161603E-13</v>
      </c>
      <c r="CU190" s="18">
        <f>CT190*VLOOKUP('Données projet'!$B$13,Paramètres!$A$1:$I$89,3,0)*VLOOKUP('Données projet'!$B$13,Paramètres!$A$1:$I$89,5,0)</f>
        <v>-1.223725121235475E-13</v>
      </c>
      <c r="CV190" s="14" t="e">
        <f t="shared" si="173"/>
        <v>#NUM!</v>
      </c>
      <c r="CW190" s="22" t="e">
        <f t="shared" si="174"/>
        <v>#NUM!</v>
      </c>
      <c r="CX190" s="60" t="e">
        <f t="shared" si="122"/>
        <v>#NUM!</v>
      </c>
      <c r="CY190" s="60">
        <f ca="1">AVERAGE(OFFSET($CX$3,0,0,'Données projet'!$E$13+1,1))-AVERAGE(OFFSET($H$3,0,0,'Données projet'!$E$13+1,1))</f>
        <v>621.10465023992288</v>
      </c>
      <c r="CZ190" s="60">
        <f t="shared" si="150"/>
        <v>322.81767004794284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>
        <f>EXP(-LN(2)/35)*DF189+(1-EXP(-LN(2)/35))/(LN(2)/35)*DB190*DC190*VLOOKUP('Données projet'!$B$13,Paramètres!$A$1:$I$89,3,0)*0.475*44/12</f>
        <v>0</v>
      </c>
      <c r="DG190" s="23">
        <f>EXP(-LN(2)/25)*DG189+(1-EXP(-LN(2)/25))/(LN(2)/25)*Calculateur!DB190*Calculateur!DD190*VLOOKUP('Données projet'!$B$13,Paramètres!$A$1:$I$89,3,0)*0.475*44/12</f>
        <v>0</v>
      </c>
      <c r="DH190" s="23">
        <f>EXP(-LN(2)/2)*DH189+(1-EXP(-LN(2)/2))/(LN(2)/2)*DB190*DE190*VLOOKUP('Données projet'!$B$13,Paramètres!$A$1:$I$89,3,0)*0.475*44/12</f>
        <v>0</v>
      </c>
      <c r="DI190" s="24">
        <f t="shared" si="175"/>
        <v>0</v>
      </c>
      <c r="DJ190" s="77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-1.1368683772161603E-13</v>
      </c>
      <c r="DP190" s="18">
        <f>DO190*VLOOKUP('Données projet'!$B$14,Paramètres!$A$1:$I$89,3,0)*VLOOKUP('Données projet'!$B$14,Paramètres!$A$1:$I$89,5,0)</f>
        <v>-1.0995790944434703E-13</v>
      </c>
      <c r="DQ190" s="14" t="e">
        <f t="shared" si="176"/>
        <v>#NUM!</v>
      </c>
      <c r="DR190" s="22" t="e">
        <f t="shared" si="177"/>
        <v>#NUM!</v>
      </c>
      <c r="DS190" s="60" t="e">
        <f t="shared" si="125"/>
        <v>#NUM!</v>
      </c>
      <c r="DT190" s="60">
        <f ca="1">AVERAGE(OFFSET($DS$3,0,0,'Données projet'!$E$14+1,1))-AVERAGE(OFFSET($H$3,0,0,'Données projet'!$E$14+1,1))</f>
        <v>562.69380557620775</v>
      </c>
      <c r="DU190" s="60">
        <f t="shared" si="152"/>
        <v>294.45557293177131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>
        <f>EXP(-LN(2)/35)*EA189+(1-EXP(-LN(2)/35))/(LN(2)/35)*DW190*DX190*VLOOKUP('Données projet'!$B$14,Paramètres!$A$1:$I$89,3,0)*0.475*44/12</f>
        <v>0</v>
      </c>
      <c r="EB190" s="23">
        <f>EXP(-LN(2)/25)*EB189+(1-EXP(-LN(2)/25))/(LN(2)/25)*Calculateur!DW190*Calculateur!DY190*VLOOKUP('Données projet'!$B$14,Paramètres!$A$1:$I$89,3,0)*0.475*44/12</f>
        <v>0</v>
      </c>
      <c r="EC190" s="23">
        <f>EXP(-LN(2)/2)*EC189+(1-EXP(-LN(2)/2))/(LN(2)/2)*DW190*DZ190*VLOOKUP('Données projet'!$B$14,Paramètres!$A$1:$I$89,3,0)*0.475*44/12</f>
        <v>0</v>
      </c>
      <c r="ED190" s="24">
        <f t="shared" si="178"/>
        <v>0</v>
      </c>
      <c r="EE190" s="77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1.1368683772161603E-13</v>
      </c>
      <c r="EK190" s="18">
        <f>EJ190*VLOOKUP('Données projet'!$B$15,Paramètres!$A$1:$I$89,3,0)*VLOOKUP('Données projet'!$B$15,Paramètres!$A$1:$I$89,5,0)</f>
        <v>8.8675733422860506E-14</v>
      </c>
      <c r="EL190" s="14">
        <f t="shared" si="179"/>
        <v>1.3509285393066301E-12</v>
      </c>
      <c r="EM190" s="22">
        <f t="shared" si="180"/>
        <v>2.5073107750038623E-12</v>
      </c>
      <c r="EN190" s="60">
        <f t="shared" si="128"/>
        <v>293.33333333333582</v>
      </c>
      <c r="EO190" s="60">
        <f ca="1">AVERAGE(OFFSET($EN$3,0,0,'Données projet'!$E$15+1,1))-AVERAGE(OFFSET($H$3,0,0,'Données projet'!$E$15+1,1))</f>
        <v>292.57482726862594</v>
      </c>
      <c r="EP190" s="60">
        <f t="shared" si="154"/>
        <v>283.48738729114024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>
        <f>EXP(-LN(2)/35)*EV189+(1-EXP(-LN(2)/35))/(LN(2)/35)*ER190*ES190*VLOOKUP('Données projet'!$B$15,Paramètres!$A$1:$I$89,3,0)*0.475*44/12</f>
        <v>0</v>
      </c>
      <c r="EW190" s="23">
        <f>EXP(-LN(2)/25)*EW189+(1-EXP(-LN(2)/25))/(LN(2)/25)*Calculateur!ER190*Calculateur!ET190*VLOOKUP('Données projet'!$B$15,Paramètres!$A$1:$I$89,3,0)*0.475*44/12</f>
        <v>0</v>
      </c>
      <c r="EX190" s="23">
        <f>EXP(-LN(2)/2)*EX189+(1-EXP(-LN(2)/2))/(LN(2)/2)*ER190*EU190*VLOOKUP('Données projet'!$B$15,Paramètres!$A$1:$I$89,3,0)*0.475*44/12</f>
        <v>0</v>
      </c>
      <c r="EY190" s="24">
        <f t="shared" si="181"/>
        <v>0</v>
      </c>
      <c r="EZ190" s="77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0" t="e">
        <f t="shared" si="131"/>
        <v>#N/A</v>
      </c>
      <c r="FJ190" s="60" t="e">
        <f ca="1">AVERAGE(OFFSET($FI$3,0,0,'Données projet'!$E$16+1,1))-AVERAGE(OFFSET($H$3,0,0,'Données projet'!$E$16+1,1))</f>
        <v>#N/A</v>
      </c>
      <c r="FK190" s="60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77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0" t="e">
        <f t="shared" si="134"/>
        <v>#N/A</v>
      </c>
      <c r="GE190" s="60" t="e">
        <f ca="1">AVERAGE(OFFSET($GD$3,0,0,'Données projet'!$E$17+1,1))-AVERAGE(OFFSET($H$3,0,0,'Données projet'!$E$17+1,1))</f>
        <v>#N/A</v>
      </c>
      <c r="GF190" s="60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77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0" t="e">
        <f t="shared" si="137"/>
        <v>#N/A</v>
      </c>
      <c r="GZ190" s="60" t="e">
        <f ca="1">AVERAGE(OFFSET($GY$3,0,0,'Données projet'!$E$18+1,1))-AVERAGE(OFFSET($H$3,0,0,'Données projet'!$E$18+1,1))</f>
        <v>#N/A</v>
      </c>
      <c r="HA190" s="60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25">
      <c r="A191" s="11">
        <f t="shared" si="161"/>
        <v>188</v>
      </c>
      <c r="B191" s="74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2">
        <f t="shared" si="140"/>
        <v>0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0</v>
      </c>
      <c r="H191" s="67">
        <f t="shared" si="110"/>
        <v>256.66666666666669</v>
      </c>
      <c r="I191" s="7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1.1368683772161603E-13</v>
      </c>
      <c r="O191" s="14">
        <f>N191*VLOOKUP('Données projet'!$B$9,Paramètres!$A$1:$I$89,3,0)*VLOOKUP('Données projet'!$B$9,Paramètres!$A$1:$I$89,5,0)</f>
        <v>1.0818439477588981E-13</v>
      </c>
      <c r="P191" s="14">
        <f t="shared" si="141"/>
        <v>1.6104228458716316E-12</v>
      </c>
      <c r="Q191" s="22">
        <f t="shared" si="162"/>
        <v>2.9932409441277661E-12</v>
      </c>
      <c r="R191" s="60">
        <f t="shared" si="109"/>
        <v>293.33333333333633</v>
      </c>
      <c r="S191" s="60">
        <f ca="1">AVERAGE(OFFSET($R$3,0,0,'Données projet'!$E$9+1,1))-AVERAGE(OFFSET($H$3,0,0,'Données projet'!$E$9+1,1))</f>
        <v>403.49781966317852</v>
      </c>
      <c r="T191" s="60">
        <f t="shared" si="142"/>
        <v>326.06674572505409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0</v>
      </c>
      <c r="AA191" s="23">
        <f>EXP(-LN(2)/25)*AA190+(1-EXP(-LN(2)/25))/(LN(2)/25)*Calculateur!V191*Calculateur!X191*VLOOKUP('Données projet'!$B$9,Paramètres!$A$1:$I$89,3,0)*0.475*44/12</f>
        <v>0</v>
      </c>
      <c r="AB191" s="23">
        <f>EXP(-LN(2)/2)*AB190+(1-EXP(-LN(2)/2))/(LN(2)/2)*V191*Y191*VLOOKUP('Données projet'!$B$9,Paramètres!$A$1:$I$89,3,0)*0.475*44/12</f>
        <v>0</v>
      </c>
      <c r="AC191" s="24">
        <f t="shared" si="163"/>
        <v>0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-1.1368683772161603E-13</v>
      </c>
      <c r="AJ191" s="14">
        <f>AI191*VLOOKUP('Données projet'!$B$10,Paramètres!$A$1:$I$89,3,0)*VLOOKUP('Données projet'!$B$10,Paramètres!$A$1:$I$89,5,0)</f>
        <v>-9.9316821433603781E-14</v>
      </c>
      <c r="AK191" s="14" t="e">
        <f t="shared" si="164"/>
        <v>#NUM!</v>
      </c>
      <c r="AL191" s="22" t="e">
        <f t="shared" si="165"/>
        <v>#NUM!</v>
      </c>
      <c r="AM191" s="60" t="e">
        <f t="shared" si="113"/>
        <v>#NUM!</v>
      </c>
      <c r="AN191" s="60">
        <f ca="1">AVERAGE(OFFSET($AM$3,0,0,'Données projet'!$E$10+1,1))-AVERAGE(OFFSET($H$3,0,0,'Données projet'!$E$10+1,1))</f>
        <v>274.66236526869056</v>
      </c>
      <c r="AO191" s="60">
        <f t="shared" si="144"/>
        <v>256.90876395053073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>
        <f>EXP(-LN(2)/35)*AU190+(1-EXP(-LN(2)/35))/(LN(2)/35)*AQ191*AR191*VLOOKUP('Données projet'!$B$10,Paramètres!$A$1:$I$89,3,0)*0.475*44/12</f>
        <v>0</v>
      </c>
      <c r="AV191" s="23">
        <f>EXP(-LN(2)/25)*AV190+(1-EXP(-LN(2)/25))/(LN(2)/25)*Calculateur!AQ191*Calculateur!AS191*VLOOKUP('Données projet'!$B$10,Paramètres!$A$1:$I$89,3,0)*0.475*44/12</f>
        <v>0</v>
      </c>
      <c r="AW191" s="23">
        <f>EXP(-LN(2)/2)*AW190+(1-EXP(-LN(2)/2))/(LN(2)/2)*AQ191*AT191*VLOOKUP('Données projet'!$B$10,Paramètres!$A$1:$I$89,3,0)*0.475*44/12</f>
        <v>0</v>
      </c>
      <c r="AX191" s="23">
        <f t="shared" si="166"/>
        <v>0</v>
      </c>
      <c r="AY191" s="76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-1.1368683772161603E-13</v>
      </c>
      <c r="BE191" s="14">
        <f>BD191*VLOOKUP('Données projet'!$B$11,Paramètres!$A$1:$I$89,3,0)*VLOOKUP('Données projet'!$B$11,Paramètres!$A$1:$I$89,5,0)</f>
        <v>-1.0286385077051818E-13</v>
      </c>
      <c r="BF191" s="14" t="e">
        <f t="shared" si="167"/>
        <v>#NUM!</v>
      </c>
      <c r="BG191" s="22" t="e">
        <f t="shared" si="168"/>
        <v>#NUM!</v>
      </c>
      <c r="BH191" s="60" t="e">
        <f t="shared" si="116"/>
        <v>#NUM!</v>
      </c>
      <c r="BI191" s="60">
        <f ca="1">AVERAGE(OFFSET($BH$3,0,0,'Données projet'!$E$11+1,1))-AVERAGE(OFFSET($H$3,0,0,'Données projet'!$E$11+1,1))</f>
        <v>529.25712986118265</v>
      </c>
      <c r="BJ191" s="60">
        <f t="shared" si="146"/>
        <v>278.21741231699929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>
        <f>EXP(-LN(2)/35)*BP190+(1-EXP(-LN(2)/35))/(LN(2)/35)*BL191*BM191*VLOOKUP('Données projet'!$B$11,Paramètres!$A$1:$I$89,3,0)*0.475*44/12</f>
        <v>0</v>
      </c>
      <c r="BQ191" s="23">
        <f>EXP(-LN(2)/25)*BQ190+(1-EXP(-LN(2)/25))/(LN(2)/25)*Calculateur!BL191*Calculateur!BN191*VLOOKUP('Données projet'!$B$11,Paramètres!$A$1:$I$89,3,0)*0.475*44/12</f>
        <v>0</v>
      </c>
      <c r="BR191" s="23">
        <f>EXP(-LN(2)/2)*BR190+(1-EXP(-LN(2)/2))/(LN(2)/2)*BL191*BO191*VLOOKUP('Données projet'!$B$11,Paramètres!$A$1:$I$89,3,0)*0.475*44/12</f>
        <v>0</v>
      </c>
      <c r="BS191" s="24">
        <f t="shared" si="169"/>
        <v>0</v>
      </c>
      <c r="BT191" s="77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-1.1368683772161603E-13</v>
      </c>
      <c r="BZ191" s="14">
        <f>BY191*VLOOKUP('Données projet'!$B$12,Paramètres!$A$1:$I$89,3,0)*VLOOKUP('Données projet'!$B$12,Paramètres!$A$1:$I$89,5,0)</f>
        <v>-1.1527845344971866E-13</v>
      </c>
      <c r="CA191" s="14" t="e">
        <f t="shared" si="170"/>
        <v>#NUM!</v>
      </c>
      <c r="CB191" s="22" t="e">
        <f t="shared" si="171"/>
        <v>#NUM!</v>
      </c>
      <c r="CC191" s="60" t="e">
        <f t="shared" si="119"/>
        <v>#NUM!</v>
      </c>
      <c r="CD191" s="60">
        <f ca="1">AVERAGE(OFFSET($CC$3,0,0,'Données projet'!$E$12+1,1))-AVERAGE(OFFSET($H$3,0,0,'Données projet'!$E$12+1,1))</f>
        <v>587.74247372331615</v>
      </c>
      <c r="CE191" s="60">
        <f t="shared" si="148"/>
        <v>306.61893266146666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>
        <f>EXP(-LN(2)/35)*CK190+(1-EXP(-LN(2)/35))/(LN(2)/35)*CG191*CH191*VLOOKUP('Données projet'!$B$12,Paramètres!$A$1:$I$89,3,0)*0.475*44/12</f>
        <v>0</v>
      </c>
      <c r="CL191" s="23">
        <f>EXP(-LN(2)/25)*CL190+(1-EXP(-LN(2)/25))/(LN(2)/25)*Calculateur!CG191*Calculateur!CI191*VLOOKUP('Données projet'!$B$12,Paramètres!$A$1:$I$89,3,0)*0.475*44/12</f>
        <v>0</v>
      </c>
      <c r="CM191" s="23">
        <f>EXP(-LN(2)/2)*CM190+(1-EXP(-LN(2)/2))/(LN(2)/2)*CG191*CJ191*VLOOKUP('Données projet'!$B$12,Paramètres!$A$1:$I$89,3,0)*0.475*44/12</f>
        <v>0</v>
      </c>
      <c r="CN191" s="24">
        <f t="shared" si="172"/>
        <v>0</v>
      </c>
      <c r="CO191" s="77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-1.1368683772161603E-13</v>
      </c>
      <c r="CU191" s="18">
        <f>CT191*VLOOKUP('Données projet'!$B$13,Paramètres!$A$1:$I$89,3,0)*VLOOKUP('Données projet'!$B$13,Paramètres!$A$1:$I$89,5,0)</f>
        <v>-1.223725121235475E-13</v>
      </c>
      <c r="CV191" s="14" t="e">
        <f t="shared" si="173"/>
        <v>#NUM!</v>
      </c>
      <c r="CW191" s="22" t="e">
        <f t="shared" si="174"/>
        <v>#NUM!</v>
      </c>
      <c r="CX191" s="60" t="e">
        <f t="shared" si="122"/>
        <v>#NUM!</v>
      </c>
      <c r="CY191" s="60">
        <f ca="1">AVERAGE(OFFSET($CX$3,0,0,'Données projet'!$E$13+1,1))-AVERAGE(OFFSET($H$3,0,0,'Données projet'!$E$13+1,1))</f>
        <v>621.10465023992288</v>
      </c>
      <c r="CZ191" s="60">
        <f t="shared" si="150"/>
        <v>322.81767004794284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>
        <f>EXP(-LN(2)/35)*DF190+(1-EXP(-LN(2)/35))/(LN(2)/35)*DB191*DC191*VLOOKUP('Données projet'!$B$13,Paramètres!$A$1:$I$89,3,0)*0.475*44/12</f>
        <v>0</v>
      </c>
      <c r="DG191" s="23">
        <f>EXP(-LN(2)/25)*DG190+(1-EXP(-LN(2)/25))/(LN(2)/25)*Calculateur!DB191*Calculateur!DD191*VLOOKUP('Données projet'!$B$13,Paramètres!$A$1:$I$89,3,0)*0.475*44/12</f>
        <v>0</v>
      </c>
      <c r="DH191" s="23">
        <f>EXP(-LN(2)/2)*DH190+(1-EXP(-LN(2)/2))/(LN(2)/2)*DB191*DE191*VLOOKUP('Données projet'!$B$13,Paramètres!$A$1:$I$89,3,0)*0.475*44/12</f>
        <v>0</v>
      </c>
      <c r="DI191" s="24">
        <f t="shared" si="175"/>
        <v>0</v>
      </c>
      <c r="DJ191" s="77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-1.1368683772161603E-13</v>
      </c>
      <c r="DP191" s="18">
        <f>DO191*VLOOKUP('Données projet'!$B$14,Paramètres!$A$1:$I$89,3,0)*VLOOKUP('Données projet'!$B$14,Paramètres!$A$1:$I$89,5,0)</f>
        <v>-1.0995790944434703E-13</v>
      </c>
      <c r="DQ191" s="14" t="e">
        <f t="shared" si="176"/>
        <v>#NUM!</v>
      </c>
      <c r="DR191" s="22" t="e">
        <f t="shared" si="177"/>
        <v>#NUM!</v>
      </c>
      <c r="DS191" s="60" t="e">
        <f t="shared" si="125"/>
        <v>#NUM!</v>
      </c>
      <c r="DT191" s="60">
        <f ca="1">AVERAGE(OFFSET($DS$3,0,0,'Données projet'!$E$14+1,1))-AVERAGE(OFFSET($H$3,0,0,'Données projet'!$E$14+1,1))</f>
        <v>562.69380557620775</v>
      </c>
      <c r="DU191" s="60">
        <f t="shared" si="152"/>
        <v>294.45557293177131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>
        <f>EXP(-LN(2)/35)*EA190+(1-EXP(-LN(2)/35))/(LN(2)/35)*DW191*DX191*VLOOKUP('Données projet'!$B$14,Paramètres!$A$1:$I$89,3,0)*0.475*44/12</f>
        <v>0</v>
      </c>
      <c r="EB191" s="23">
        <f>EXP(-LN(2)/25)*EB190+(1-EXP(-LN(2)/25))/(LN(2)/25)*Calculateur!DW191*Calculateur!DY191*VLOOKUP('Données projet'!$B$14,Paramètres!$A$1:$I$89,3,0)*0.475*44/12</f>
        <v>0</v>
      </c>
      <c r="EC191" s="23">
        <f>EXP(-LN(2)/2)*EC190+(1-EXP(-LN(2)/2))/(LN(2)/2)*DW191*DZ191*VLOOKUP('Données projet'!$B$14,Paramètres!$A$1:$I$89,3,0)*0.475*44/12</f>
        <v>0</v>
      </c>
      <c r="ED191" s="24">
        <f t="shared" si="178"/>
        <v>0</v>
      </c>
      <c r="EE191" s="77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1.1368683772161603E-13</v>
      </c>
      <c r="EK191" s="18">
        <f>EJ191*VLOOKUP('Données projet'!$B$15,Paramètres!$A$1:$I$89,3,0)*VLOOKUP('Données projet'!$B$15,Paramètres!$A$1:$I$89,5,0)</f>
        <v>8.8675733422860506E-14</v>
      </c>
      <c r="EL191" s="14">
        <f t="shared" si="179"/>
        <v>1.3509285393066301E-12</v>
      </c>
      <c r="EM191" s="22">
        <f t="shared" si="180"/>
        <v>2.5073107750038623E-12</v>
      </c>
      <c r="EN191" s="60">
        <f t="shared" si="128"/>
        <v>293.33333333333582</v>
      </c>
      <c r="EO191" s="60">
        <f ca="1">AVERAGE(OFFSET($EN$3,0,0,'Données projet'!$E$15+1,1))-AVERAGE(OFFSET($H$3,0,0,'Données projet'!$E$15+1,1))</f>
        <v>292.57482726862594</v>
      </c>
      <c r="EP191" s="60">
        <f t="shared" si="154"/>
        <v>283.48738729114024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>
        <f>EXP(-LN(2)/35)*EV190+(1-EXP(-LN(2)/35))/(LN(2)/35)*ER191*ES191*VLOOKUP('Données projet'!$B$15,Paramètres!$A$1:$I$89,3,0)*0.475*44/12</f>
        <v>0</v>
      </c>
      <c r="EW191" s="23">
        <f>EXP(-LN(2)/25)*EW190+(1-EXP(-LN(2)/25))/(LN(2)/25)*Calculateur!ER191*Calculateur!ET191*VLOOKUP('Données projet'!$B$15,Paramètres!$A$1:$I$89,3,0)*0.475*44/12</f>
        <v>0</v>
      </c>
      <c r="EX191" s="23">
        <f>EXP(-LN(2)/2)*EX190+(1-EXP(-LN(2)/2))/(LN(2)/2)*ER191*EU191*VLOOKUP('Données projet'!$B$15,Paramètres!$A$1:$I$89,3,0)*0.475*44/12</f>
        <v>0</v>
      </c>
      <c r="EY191" s="24">
        <f t="shared" si="181"/>
        <v>0</v>
      </c>
      <c r="EZ191" s="77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0" t="e">
        <f t="shared" si="131"/>
        <v>#N/A</v>
      </c>
      <c r="FJ191" s="60" t="e">
        <f ca="1">AVERAGE(OFFSET($FI$3,0,0,'Données projet'!$E$16+1,1))-AVERAGE(OFFSET($H$3,0,0,'Données projet'!$E$16+1,1))</f>
        <v>#N/A</v>
      </c>
      <c r="FK191" s="60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77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0" t="e">
        <f t="shared" si="134"/>
        <v>#N/A</v>
      </c>
      <c r="GE191" s="60" t="e">
        <f ca="1">AVERAGE(OFFSET($GD$3,0,0,'Données projet'!$E$17+1,1))-AVERAGE(OFFSET($H$3,0,0,'Données projet'!$E$17+1,1))</f>
        <v>#N/A</v>
      </c>
      <c r="GF191" s="60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77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0" t="e">
        <f t="shared" si="137"/>
        <v>#N/A</v>
      </c>
      <c r="GZ191" s="60" t="e">
        <f ca="1">AVERAGE(OFFSET($GY$3,0,0,'Données projet'!$E$18+1,1))-AVERAGE(OFFSET($H$3,0,0,'Données projet'!$E$18+1,1))</f>
        <v>#N/A</v>
      </c>
      <c r="HA191" s="60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25">
      <c r="A192" s="11">
        <f t="shared" si="161"/>
        <v>189</v>
      </c>
      <c r="B192" s="74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2">
        <f t="shared" si="140"/>
        <v>0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0</v>
      </c>
      <c r="H192" s="67">
        <f t="shared" si="110"/>
        <v>256.66666666666669</v>
      </c>
      <c r="I192" s="7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1.1368683772161603E-13</v>
      </c>
      <c r="O192" s="14">
        <f>N192*VLOOKUP('Données projet'!$B$9,Paramètres!$A$1:$I$89,3,0)*VLOOKUP('Données projet'!$B$9,Paramètres!$A$1:$I$89,5,0)</f>
        <v>1.0818439477588981E-13</v>
      </c>
      <c r="P192" s="14">
        <f t="shared" si="141"/>
        <v>1.6104228458716316E-12</v>
      </c>
      <c r="Q192" s="22">
        <f t="shared" si="162"/>
        <v>2.9932409441277661E-12</v>
      </c>
      <c r="R192" s="60">
        <f t="shared" si="109"/>
        <v>293.33333333333633</v>
      </c>
      <c r="S192" s="60">
        <f ca="1">AVERAGE(OFFSET($R$3,0,0,'Données projet'!$E$9+1,1))-AVERAGE(OFFSET($H$3,0,0,'Données projet'!$E$9+1,1))</f>
        <v>403.49781966317852</v>
      </c>
      <c r="T192" s="60">
        <f t="shared" si="142"/>
        <v>326.06674572505409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0</v>
      </c>
      <c r="AA192" s="23">
        <f>EXP(-LN(2)/25)*AA191+(1-EXP(-LN(2)/25))/(LN(2)/25)*Calculateur!V192*Calculateur!X192*VLOOKUP('Données projet'!$B$9,Paramètres!$A$1:$I$89,3,0)*0.475*44/12</f>
        <v>0</v>
      </c>
      <c r="AB192" s="23">
        <f>EXP(-LN(2)/2)*AB191+(1-EXP(-LN(2)/2))/(LN(2)/2)*V192*Y192*VLOOKUP('Données projet'!$B$9,Paramètres!$A$1:$I$89,3,0)*0.475*44/12</f>
        <v>0</v>
      </c>
      <c r="AC192" s="24">
        <f t="shared" si="163"/>
        <v>0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-1.1368683772161603E-13</v>
      </c>
      <c r="AJ192" s="14">
        <f>AI192*VLOOKUP('Données projet'!$B$10,Paramètres!$A$1:$I$89,3,0)*VLOOKUP('Données projet'!$B$10,Paramètres!$A$1:$I$89,5,0)</f>
        <v>-9.9316821433603781E-14</v>
      </c>
      <c r="AK192" s="14" t="e">
        <f t="shared" si="164"/>
        <v>#NUM!</v>
      </c>
      <c r="AL192" s="22" t="e">
        <f t="shared" si="165"/>
        <v>#NUM!</v>
      </c>
      <c r="AM192" s="60" t="e">
        <f t="shared" si="113"/>
        <v>#NUM!</v>
      </c>
      <c r="AN192" s="60">
        <f ca="1">AVERAGE(OFFSET($AM$3,0,0,'Données projet'!$E$10+1,1))-AVERAGE(OFFSET($H$3,0,0,'Données projet'!$E$10+1,1))</f>
        <v>274.66236526869056</v>
      </c>
      <c r="AO192" s="60">
        <f t="shared" si="144"/>
        <v>256.90876395053073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>
        <f>EXP(-LN(2)/35)*AU191+(1-EXP(-LN(2)/35))/(LN(2)/35)*AQ192*AR192*VLOOKUP('Données projet'!$B$10,Paramètres!$A$1:$I$89,3,0)*0.475*44/12</f>
        <v>0</v>
      </c>
      <c r="AV192" s="23">
        <f>EXP(-LN(2)/25)*AV191+(1-EXP(-LN(2)/25))/(LN(2)/25)*Calculateur!AQ192*Calculateur!AS192*VLOOKUP('Données projet'!$B$10,Paramètres!$A$1:$I$89,3,0)*0.475*44/12</f>
        <v>0</v>
      </c>
      <c r="AW192" s="23">
        <f>EXP(-LN(2)/2)*AW191+(1-EXP(-LN(2)/2))/(LN(2)/2)*AQ192*AT192*VLOOKUP('Données projet'!$B$10,Paramètres!$A$1:$I$89,3,0)*0.475*44/12</f>
        <v>0</v>
      </c>
      <c r="AX192" s="23">
        <f t="shared" si="166"/>
        <v>0</v>
      </c>
      <c r="AY192" s="76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-1.1368683772161603E-13</v>
      </c>
      <c r="BE192" s="14">
        <f>BD192*VLOOKUP('Données projet'!$B$11,Paramètres!$A$1:$I$89,3,0)*VLOOKUP('Données projet'!$B$11,Paramètres!$A$1:$I$89,5,0)</f>
        <v>-1.0286385077051818E-13</v>
      </c>
      <c r="BF192" s="14" t="e">
        <f t="shared" si="167"/>
        <v>#NUM!</v>
      </c>
      <c r="BG192" s="22" t="e">
        <f t="shared" si="168"/>
        <v>#NUM!</v>
      </c>
      <c r="BH192" s="60" t="e">
        <f t="shared" si="116"/>
        <v>#NUM!</v>
      </c>
      <c r="BI192" s="60">
        <f ca="1">AVERAGE(OFFSET($BH$3,0,0,'Données projet'!$E$11+1,1))-AVERAGE(OFFSET($H$3,0,0,'Données projet'!$E$11+1,1))</f>
        <v>529.25712986118265</v>
      </c>
      <c r="BJ192" s="60">
        <f t="shared" si="146"/>
        <v>278.21741231699929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>
        <f>EXP(-LN(2)/35)*BP191+(1-EXP(-LN(2)/35))/(LN(2)/35)*BL192*BM192*VLOOKUP('Données projet'!$B$11,Paramètres!$A$1:$I$89,3,0)*0.475*44/12</f>
        <v>0</v>
      </c>
      <c r="BQ192" s="23">
        <f>EXP(-LN(2)/25)*BQ191+(1-EXP(-LN(2)/25))/(LN(2)/25)*Calculateur!BL192*Calculateur!BN192*VLOOKUP('Données projet'!$B$11,Paramètres!$A$1:$I$89,3,0)*0.475*44/12</f>
        <v>0</v>
      </c>
      <c r="BR192" s="23">
        <f>EXP(-LN(2)/2)*BR191+(1-EXP(-LN(2)/2))/(LN(2)/2)*BL192*BO192*VLOOKUP('Données projet'!$B$11,Paramètres!$A$1:$I$89,3,0)*0.475*44/12</f>
        <v>0</v>
      </c>
      <c r="BS192" s="24">
        <f t="shared" si="169"/>
        <v>0</v>
      </c>
      <c r="BT192" s="77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-1.1368683772161603E-13</v>
      </c>
      <c r="BZ192" s="14">
        <f>BY192*VLOOKUP('Données projet'!$B$12,Paramètres!$A$1:$I$89,3,0)*VLOOKUP('Données projet'!$B$12,Paramètres!$A$1:$I$89,5,0)</f>
        <v>-1.1527845344971866E-13</v>
      </c>
      <c r="CA192" s="14" t="e">
        <f t="shared" si="170"/>
        <v>#NUM!</v>
      </c>
      <c r="CB192" s="22" t="e">
        <f t="shared" si="171"/>
        <v>#NUM!</v>
      </c>
      <c r="CC192" s="60" t="e">
        <f t="shared" si="119"/>
        <v>#NUM!</v>
      </c>
      <c r="CD192" s="60">
        <f ca="1">AVERAGE(OFFSET($CC$3,0,0,'Données projet'!$E$12+1,1))-AVERAGE(OFFSET($H$3,0,0,'Données projet'!$E$12+1,1))</f>
        <v>587.74247372331615</v>
      </c>
      <c r="CE192" s="60">
        <f t="shared" si="148"/>
        <v>306.61893266146666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>
        <f>EXP(-LN(2)/35)*CK191+(1-EXP(-LN(2)/35))/(LN(2)/35)*CG192*CH192*VLOOKUP('Données projet'!$B$12,Paramètres!$A$1:$I$89,3,0)*0.475*44/12</f>
        <v>0</v>
      </c>
      <c r="CL192" s="23">
        <f>EXP(-LN(2)/25)*CL191+(1-EXP(-LN(2)/25))/(LN(2)/25)*Calculateur!CG192*Calculateur!CI192*VLOOKUP('Données projet'!$B$12,Paramètres!$A$1:$I$89,3,0)*0.475*44/12</f>
        <v>0</v>
      </c>
      <c r="CM192" s="23">
        <f>EXP(-LN(2)/2)*CM191+(1-EXP(-LN(2)/2))/(LN(2)/2)*CG192*CJ192*VLOOKUP('Données projet'!$B$12,Paramètres!$A$1:$I$89,3,0)*0.475*44/12</f>
        <v>0</v>
      </c>
      <c r="CN192" s="24">
        <f t="shared" si="172"/>
        <v>0</v>
      </c>
      <c r="CO192" s="77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-1.1368683772161603E-13</v>
      </c>
      <c r="CU192" s="18">
        <f>CT192*VLOOKUP('Données projet'!$B$13,Paramètres!$A$1:$I$89,3,0)*VLOOKUP('Données projet'!$B$13,Paramètres!$A$1:$I$89,5,0)</f>
        <v>-1.223725121235475E-13</v>
      </c>
      <c r="CV192" s="14" t="e">
        <f t="shared" si="173"/>
        <v>#NUM!</v>
      </c>
      <c r="CW192" s="22" t="e">
        <f t="shared" si="174"/>
        <v>#NUM!</v>
      </c>
      <c r="CX192" s="60" t="e">
        <f t="shared" si="122"/>
        <v>#NUM!</v>
      </c>
      <c r="CY192" s="60">
        <f ca="1">AVERAGE(OFFSET($CX$3,0,0,'Données projet'!$E$13+1,1))-AVERAGE(OFFSET($H$3,0,0,'Données projet'!$E$13+1,1))</f>
        <v>621.10465023992288</v>
      </c>
      <c r="CZ192" s="60">
        <f t="shared" si="150"/>
        <v>322.81767004794284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>
        <f>EXP(-LN(2)/35)*DF191+(1-EXP(-LN(2)/35))/(LN(2)/35)*DB192*DC192*VLOOKUP('Données projet'!$B$13,Paramètres!$A$1:$I$89,3,0)*0.475*44/12</f>
        <v>0</v>
      </c>
      <c r="DG192" s="23">
        <f>EXP(-LN(2)/25)*DG191+(1-EXP(-LN(2)/25))/(LN(2)/25)*Calculateur!DB192*Calculateur!DD192*VLOOKUP('Données projet'!$B$13,Paramètres!$A$1:$I$89,3,0)*0.475*44/12</f>
        <v>0</v>
      </c>
      <c r="DH192" s="23">
        <f>EXP(-LN(2)/2)*DH191+(1-EXP(-LN(2)/2))/(LN(2)/2)*DB192*DE192*VLOOKUP('Données projet'!$B$13,Paramètres!$A$1:$I$89,3,0)*0.475*44/12</f>
        <v>0</v>
      </c>
      <c r="DI192" s="24">
        <f t="shared" si="175"/>
        <v>0</v>
      </c>
      <c r="DJ192" s="77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-1.1368683772161603E-13</v>
      </c>
      <c r="DP192" s="18">
        <f>DO192*VLOOKUP('Données projet'!$B$14,Paramètres!$A$1:$I$89,3,0)*VLOOKUP('Données projet'!$B$14,Paramètres!$A$1:$I$89,5,0)</f>
        <v>-1.0995790944434703E-13</v>
      </c>
      <c r="DQ192" s="14" t="e">
        <f t="shared" si="176"/>
        <v>#NUM!</v>
      </c>
      <c r="DR192" s="22" t="e">
        <f t="shared" si="177"/>
        <v>#NUM!</v>
      </c>
      <c r="DS192" s="60" t="e">
        <f t="shared" si="125"/>
        <v>#NUM!</v>
      </c>
      <c r="DT192" s="60">
        <f ca="1">AVERAGE(OFFSET($DS$3,0,0,'Données projet'!$E$14+1,1))-AVERAGE(OFFSET($H$3,0,0,'Données projet'!$E$14+1,1))</f>
        <v>562.69380557620775</v>
      </c>
      <c r="DU192" s="60">
        <f t="shared" si="152"/>
        <v>294.45557293177131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>
        <f>EXP(-LN(2)/35)*EA191+(1-EXP(-LN(2)/35))/(LN(2)/35)*DW192*DX192*VLOOKUP('Données projet'!$B$14,Paramètres!$A$1:$I$89,3,0)*0.475*44/12</f>
        <v>0</v>
      </c>
      <c r="EB192" s="23">
        <f>EXP(-LN(2)/25)*EB191+(1-EXP(-LN(2)/25))/(LN(2)/25)*Calculateur!DW192*Calculateur!DY192*VLOOKUP('Données projet'!$B$14,Paramètres!$A$1:$I$89,3,0)*0.475*44/12</f>
        <v>0</v>
      </c>
      <c r="EC192" s="23">
        <f>EXP(-LN(2)/2)*EC191+(1-EXP(-LN(2)/2))/(LN(2)/2)*DW192*DZ192*VLOOKUP('Données projet'!$B$14,Paramètres!$A$1:$I$89,3,0)*0.475*44/12</f>
        <v>0</v>
      </c>
      <c r="ED192" s="24">
        <f t="shared" si="178"/>
        <v>0</v>
      </c>
      <c r="EE192" s="77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1.1368683772161603E-13</v>
      </c>
      <c r="EK192" s="18">
        <f>EJ192*VLOOKUP('Données projet'!$B$15,Paramètres!$A$1:$I$89,3,0)*VLOOKUP('Données projet'!$B$15,Paramètres!$A$1:$I$89,5,0)</f>
        <v>8.8675733422860506E-14</v>
      </c>
      <c r="EL192" s="14">
        <f t="shared" si="179"/>
        <v>1.3509285393066301E-12</v>
      </c>
      <c r="EM192" s="22">
        <f t="shared" si="180"/>
        <v>2.5073107750038623E-12</v>
      </c>
      <c r="EN192" s="60">
        <f t="shared" si="128"/>
        <v>293.33333333333582</v>
      </c>
      <c r="EO192" s="60">
        <f ca="1">AVERAGE(OFFSET($EN$3,0,0,'Données projet'!$E$15+1,1))-AVERAGE(OFFSET($H$3,0,0,'Données projet'!$E$15+1,1))</f>
        <v>292.57482726862594</v>
      </c>
      <c r="EP192" s="60">
        <f t="shared" si="154"/>
        <v>283.48738729114024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>
        <f>EXP(-LN(2)/35)*EV191+(1-EXP(-LN(2)/35))/(LN(2)/35)*ER192*ES192*VLOOKUP('Données projet'!$B$15,Paramètres!$A$1:$I$89,3,0)*0.475*44/12</f>
        <v>0</v>
      </c>
      <c r="EW192" s="23">
        <f>EXP(-LN(2)/25)*EW191+(1-EXP(-LN(2)/25))/(LN(2)/25)*Calculateur!ER192*Calculateur!ET192*VLOOKUP('Données projet'!$B$15,Paramètres!$A$1:$I$89,3,0)*0.475*44/12</f>
        <v>0</v>
      </c>
      <c r="EX192" s="23">
        <f>EXP(-LN(2)/2)*EX191+(1-EXP(-LN(2)/2))/(LN(2)/2)*ER192*EU192*VLOOKUP('Données projet'!$B$15,Paramètres!$A$1:$I$89,3,0)*0.475*44/12</f>
        <v>0</v>
      </c>
      <c r="EY192" s="24">
        <f t="shared" si="181"/>
        <v>0</v>
      </c>
      <c r="EZ192" s="77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0" t="e">
        <f t="shared" si="131"/>
        <v>#N/A</v>
      </c>
      <c r="FJ192" s="60" t="e">
        <f ca="1">AVERAGE(OFFSET($FI$3,0,0,'Données projet'!$E$16+1,1))-AVERAGE(OFFSET($H$3,0,0,'Données projet'!$E$16+1,1))</f>
        <v>#N/A</v>
      </c>
      <c r="FK192" s="60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77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0" t="e">
        <f t="shared" si="134"/>
        <v>#N/A</v>
      </c>
      <c r="GE192" s="60" t="e">
        <f ca="1">AVERAGE(OFFSET($GD$3,0,0,'Données projet'!$E$17+1,1))-AVERAGE(OFFSET($H$3,0,0,'Données projet'!$E$17+1,1))</f>
        <v>#N/A</v>
      </c>
      <c r="GF192" s="60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77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0" t="e">
        <f t="shared" si="137"/>
        <v>#N/A</v>
      </c>
      <c r="GZ192" s="60" t="e">
        <f ca="1">AVERAGE(OFFSET($GY$3,0,0,'Données projet'!$E$18+1,1))-AVERAGE(OFFSET($H$3,0,0,'Données projet'!$E$18+1,1))</f>
        <v>#N/A</v>
      </c>
      <c r="HA192" s="60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25">
      <c r="A193" s="11">
        <f t="shared" si="161"/>
        <v>190</v>
      </c>
      <c r="B193" s="74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2">
        <f t="shared" si="140"/>
        <v>0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0</v>
      </c>
      <c r="H193" s="67">
        <f t="shared" si="110"/>
        <v>256.66666666666669</v>
      </c>
      <c r="I193" s="7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1.1368683772161603E-13</v>
      </c>
      <c r="O193" s="14">
        <f>N193*VLOOKUP('Données projet'!$B$9,Paramètres!$A$1:$I$89,3,0)*VLOOKUP('Données projet'!$B$9,Paramètres!$A$1:$I$89,5,0)</f>
        <v>1.0818439477588981E-13</v>
      </c>
      <c r="P193" s="14">
        <f t="shared" si="141"/>
        <v>1.6104228458716316E-12</v>
      </c>
      <c r="Q193" s="22">
        <f t="shared" si="162"/>
        <v>2.9932409441277661E-12</v>
      </c>
      <c r="R193" s="60">
        <f t="shared" si="109"/>
        <v>293.33333333333633</v>
      </c>
      <c r="S193" s="60">
        <f ca="1">AVERAGE(OFFSET($R$3,0,0,'Données projet'!$E$9+1,1))-AVERAGE(OFFSET($H$3,0,0,'Données projet'!$E$9+1,1))</f>
        <v>403.49781966317852</v>
      </c>
      <c r="T193" s="60">
        <f t="shared" si="142"/>
        <v>326.06674572505409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0</v>
      </c>
      <c r="AA193" s="23">
        <f>EXP(-LN(2)/25)*AA192+(1-EXP(-LN(2)/25))/(LN(2)/25)*Calculateur!V193*Calculateur!X193*VLOOKUP('Données projet'!$B$9,Paramètres!$A$1:$I$89,3,0)*0.475*44/12</f>
        <v>0</v>
      </c>
      <c r="AB193" s="23">
        <f>EXP(-LN(2)/2)*AB192+(1-EXP(-LN(2)/2))/(LN(2)/2)*V193*Y193*VLOOKUP('Données projet'!$B$9,Paramètres!$A$1:$I$89,3,0)*0.475*44/12</f>
        <v>0</v>
      </c>
      <c r="AC193" s="24">
        <f t="shared" si="163"/>
        <v>0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-1.1368683772161603E-13</v>
      </c>
      <c r="AJ193" s="14">
        <f>AI193*VLOOKUP('Données projet'!$B$10,Paramètres!$A$1:$I$89,3,0)*VLOOKUP('Données projet'!$B$10,Paramètres!$A$1:$I$89,5,0)</f>
        <v>-9.9316821433603781E-14</v>
      </c>
      <c r="AK193" s="14" t="e">
        <f t="shared" si="164"/>
        <v>#NUM!</v>
      </c>
      <c r="AL193" s="22" t="e">
        <f t="shared" si="165"/>
        <v>#NUM!</v>
      </c>
      <c r="AM193" s="60" t="e">
        <f t="shared" si="113"/>
        <v>#NUM!</v>
      </c>
      <c r="AN193" s="60">
        <f ca="1">AVERAGE(OFFSET($AM$3,0,0,'Données projet'!$E$10+1,1))-AVERAGE(OFFSET($H$3,0,0,'Données projet'!$E$10+1,1))</f>
        <v>274.66236526869056</v>
      </c>
      <c r="AO193" s="60">
        <f t="shared" si="144"/>
        <v>256.90876395053073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>
        <f>EXP(-LN(2)/35)*AU192+(1-EXP(-LN(2)/35))/(LN(2)/35)*AQ193*AR193*VLOOKUP('Données projet'!$B$10,Paramètres!$A$1:$I$89,3,0)*0.475*44/12</f>
        <v>0</v>
      </c>
      <c r="AV193" s="23">
        <f>EXP(-LN(2)/25)*AV192+(1-EXP(-LN(2)/25))/(LN(2)/25)*Calculateur!AQ193*Calculateur!AS193*VLOOKUP('Données projet'!$B$10,Paramètres!$A$1:$I$89,3,0)*0.475*44/12</f>
        <v>0</v>
      </c>
      <c r="AW193" s="23">
        <f>EXP(-LN(2)/2)*AW192+(1-EXP(-LN(2)/2))/(LN(2)/2)*AQ193*AT193*VLOOKUP('Données projet'!$B$10,Paramètres!$A$1:$I$89,3,0)*0.475*44/12</f>
        <v>0</v>
      </c>
      <c r="AX193" s="23">
        <f t="shared" si="166"/>
        <v>0</v>
      </c>
      <c r="AY193" s="76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-1.1368683772161603E-13</v>
      </c>
      <c r="BE193" s="14">
        <f>BD193*VLOOKUP('Données projet'!$B$11,Paramètres!$A$1:$I$89,3,0)*VLOOKUP('Données projet'!$B$11,Paramètres!$A$1:$I$89,5,0)</f>
        <v>-1.0286385077051818E-13</v>
      </c>
      <c r="BF193" s="14" t="e">
        <f t="shared" si="167"/>
        <v>#NUM!</v>
      </c>
      <c r="BG193" s="22" t="e">
        <f t="shared" si="168"/>
        <v>#NUM!</v>
      </c>
      <c r="BH193" s="60" t="e">
        <f t="shared" si="116"/>
        <v>#NUM!</v>
      </c>
      <c r="BI193" s="60">
        <f ca="1">AVERAGE(OFFSET($BH$3,0,0,'Données projet'!$E$11+1,1))-AVERAGE(OFFSET($H$3,0,0,'Données projet'!$E$11+1,1))</f>
        <v>529.25712986118265</v>
      </c>
      <c r="BJ193" s="60">
        <f t="shared" si="146"/>
        <v>278.21741231699929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>
        <f>EXP(-LN(2)/35)*BP192+(1-EXP(-LN(2)/35))/(LN(2)/35)*BL193*BM193*VLOOKUP('Données projet'!$B$11,Paramètres!$A$1:$I$89,3,0)*0.475*44/12</f>
        <v>0</v>
      </c>
      <c r="BQ193" s="23">
        <f>EXP(-LN(2)/25)*BQ192+(1-EXP(-LN(2)/25))/(LN(2)/25)*Calculateur!BL193*Calculateur!BN193*VLOOKUP('Données projet'!$B$11,Paramètres!$A$1:$I$89,3,0)*0.475*44/12</f>
        <v>0</v>
      </c>
      <c r="BR193" s="23">
        <f>EXP(-LN(2)/2)*BR192+(1-EXP(-LN(2)/2))/(LN(2)/2)*BL193*BO193*VLOOKUP('Données projet'!$B$11,Paramètres!$A$1:$I$89,3,0)*0.475*44/12</f>
        <v>0</v>
      </c>
      <c r="BS193" s="24">
        <f t="shared" si="169"/>
        <v>0</v>
      </c>
      <c r="BT193" s="77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-1.1368683772161603E-13</v>
      </c>
      <c r="BZ193" s="14">
        <f>BY193*VLOOKUP('Données projet'!$B$12,Paramètres!$A$1:$I$89,3,0)*VLOOKUP('Données projet'!$B$12,Paramètres!$A$1:$I$89,5,0)</f>
        <v>-1.1527845344971866E-13</v>
      </c>
      <c r="CA193" s="14" t="e">
        <f t="shared" si="170"/>
        <v>#NUM!</v>
      </c>
      <c r="CB193" s="22" t="e">
        <f t="shared" si="171"/>
        <v>#NUM!</v>
      </c>
      <c r="CC193" s="60" t="e">
        <f t="shared" si="119"/>
        <v>#NUM!</v>
      </c>
      <c r="CD193" s="60">
        <f ca="1">AVERAGE(OFFSET($CC$3,0,0,'Données projet'!$E$12+1,1))-AVERAGE(OFFSET($H$3,0,0,'Données projet'!$E$12+1,1))</f>
        <v>587.74247372331615</v>
      </c>
      <c r="CE193" s="60">
        <f t="shared" si="148"/>
        <v>306.61893266146666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>
        <f>EXP(-LN(2)/35)*CK192+(1-EXP(-LN(2)/35))/(LN(2)/35)*CG193*CH193*VLOOKUP('Données projet'!$B$12,Paramètres!$A$1:$I$89,3,0)*0.475*44/12</f>
        <v>0</v>
      </c>
      <c r="CL193" s="23">
        <f>EXP(-LN(2)/25)*CL192+(1-EXP(-LN(2)/25))/(LN(2)/25)*Calculateur!CG193*Calculateur!CI193*VLOOKUP('Données projet'!$B$12,Paramètres!$A$1:$I$89,3,0)*0.475*44/12</f>
        <v>0</v>
      </c>
      <c r="CM193" s="23">
        <f>EXP(-LN(2)/2)*CM192+(1-EXP(-LN(2)/2))/(LN(2)/2)*CG193*CJ193*VLOOKUP('Données projet'!$B$12,Paramètres!$A$1:$I$89,3,0)*0.475*44/12</f>
        <v>0</v>
      </c>
      <c r="CN193" s="24">
        <f t="shared" si="172"/>
        <v>0</v>
      </c>
      <c r="CO193" s="77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-1.1368683772161603E-13</v>
      </c>
      <c r="CU193" s="18">
        <f>CT193*VLOOKUP('Données projet'!$B$13,Paramètres!$A$1:$I$89,3,0)*VLOOKUP('Données projet'!$B$13,Paramètres!$A$1:$I$89,5,0)</f>
        <v>-1.223725121235475E-13</v>
      </c>
      <c r="CV193" s="14" t="e">
        <f t="shared" si="173"/>
        <v>#NUM!</v>
      </c>
      <c r="CW193" s="22" t="e">
        <f t="shared" si="174"/>
        <v>#NUM!</v>
      </c>
      <c r="CX193" s="60" t="e">
        <f t="shared" si="122"/>
        <v>#NUM!</v>
      </c>
      <c r="CY193" s="60">
        <f ca="1">AVERAGE(OFFSET($CX$3,0,0,'Données projet'!$E$13+1,1))-AVERAGE(OFFSET($H$3,0,0,'Données projet'!$E$13+1,1))</f>
        <v>621.10465023992288</v>
      </c>
      <c r="CZ193" s="60">
        <f t="shared" si="150"/>
        <v>322.81767004794284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>
        <f>EXP(-LN(2)/35)*DF192+(1-EXP(-LN(2)/35))/(LN(2)/35)*DB193*DC193*VLOOKUP('Données projet'!$B$13,Paramètres!$A$1:$I$89,3,0)*0.475*44/12</f>
        <v>0</v>
      </c>
      <c r="DG193" s="23">
        <f>EXP(-LN(2)/25)*DG192+(1-EXP(-LN(2)/25))/(LN(2)/25)*Calculateur!DB193*Calculateur!DD193*VLOOKUP('Données projet'!$B$13,Paramètres!$A$1:$I$89,3,0)*0.475*44/12</f>
        <v>0</v>
      </c>
      <c r="DH193" s="23">
        <f>EXP(-LN(2)/2)*DH192+(1-EXP(-LN(2)/2))/(LN(2)/2)*DB193*DE193*VLOOKUP('Données projet'!$B$13,Paramètres!$A$1:$I$89,3,0)*0.475*44/12</f>
        <v>0</v>
      </c>
      <c r="DI193" s="24">
        <f t="shared" si="175"/>
        <v>0</v>
      </c>
      <c r="DJ193" s="77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-1.1368683772161603E-13</v>
      </c>
      <c r="DP193" s="18">
        <f>DO193*VLOOKUP('Données projet'!$B$14,Paramètres!$A$1:$I$89,3,0)*VLOOKUP('Données projet'!$B$14,Paramètres!$A$1:$I$89,5,0)</f>
        <v>-1.0995790944434703E-13</v>
      </c>
      <c r="DQ193" s="14" t="e">
        <f t="shared" si="176"/>
        <v>#NUM!</v>
      </c>
      <c r="DR193" s="22" t="e">
        <f t="shared" si="177"/>
        <v>#NUM!</v>
      </c>
      <c r="DS193" s="60" t="e">
        <f t="shared" si="125"/>
        <v>#NUM!</v>
      </c>
      <c r="DT193" s="60">
        <f ca="1">AVERAGE(OFFSET($DS$3,0,0,'Données projet'!$E$14+1,1))-AVERAGE(OFFSET($H$3,0,0,'Données projet'!$E$14+1,1))</f>
        <v>562.69380557620775</v>
      </c>
      <c r="DU193" s="60">
        <f t="shared" si="152"/>
        <v>294.45557293177131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>
        <f>EXP(-LN(2)/35)*EA192+(1-EXP(-LN(2)/35))/(LN(2)/35)*DW193*DX193*VLOOKUP('Données projet'!$B$14,Paramètres!$A$1:$I$89,3,0)*0.475*44/12</f>
        <v>0</v>
      </c>
      <c r="EB193" s="23">
        <f>EXP(-LN(2)/25)*EB192+(1-EXP(-LN(2)/25))/(LN(2)/25)*Calculateur!DW193*Calculateur!DY193*VLOOKUP('Données projet'!$B$14,Paramètres!$A$1:$I$89,3,0)*0.475*44/12</f>
        <v>0</v>
      </c>
      <c r="EC193" s="23">
        <f>EXP(-LN(2)/2)*EC192+(1-EXP(-LN(2)/2))/(LN(2)/2)*DW193*DZ193*VLOOKUP('Données projet'!$B$14,Paramètres!$A$1:$I$89,3,0)*0.475*44/12</f>
        <v>0</v>
      </c>
      <c r="ED193" s="24">
        <f t="shared" si="178"/>
        <v>0</v>
      </c>
      <c r="EE193" s="77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1.1368683772161603E-13</v>
      </c>
      <c r="EK193" s="18">
        <f>EJ193*VLOOKUP('Données projet'!$B$15,Paramètres!$A$1:$I$89,3,0)*VLOOKUP('Données projet'!$B$15,Paramètres!$A$1:$I$89,5,0)</f>
        <v>8.8675733422860506E-14</v>
      </c>
      <c r="EL193" s="14">
        <f t="shared" si="179"/>
        <v>1.3509285393066301E-12</v>
      </c>
      <c r="EM193" s="22">
        <f t="shared" si="180"/>
        <v>2.5073107750038623E-12</v>
      </c>
      <c r="EN193" s="60">
        <f t="shared" si="128"/>
        <v>293.33333333333582</v>
      </c>
      <c r="EO193" s="60">
        <f ca="1">AVERAGE(OFFSET($EN$3,0,0,'Données projet'!$E$15+1,1))-AVERAGE(OFFSET($H$3,0,0,'Données projet'!$E$15+1,1))</f>
        <v>292.57482726862594</v>
      </c>
      <c r="EP193" s="60">
        <f t="shared" si="154"/>
        <v>283.48738729114024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>
        <f>EXP(-LN(2)/35)*EV192+(1-EXP(-LN(2)/35))/(LN(2)/35)*ER193*ES193*VLOOKUP('Données projet'!$B$15,Paramètres!$A$1:$I$89,3,0)*0.475*44/12</f>
        <v>0</v>
      </c>
      <c r="EW193" s="23">
        <f>EXP(-LN(2)/25)*EW192+(1-EXP(-LN(2)/25))/(LN(2)/25)*Calculateur!ER193*Calculateur!ET193*VLOOKUP('Données projet'!$B$15,Paramètres!$A$1:$I$89,3,0)*0.475*44/12</f>
        <v>0</v>
      </c>
      <c r="EX193" s="23">
        <f>EXP(-LN(2)/2)*EX192+(1-EXP(-LN(2)/2))/(LN(2)/2)*ER193*EU193*VLOOKUP('Données projet'!$B$15,Paramètres!$A$1:$I$89,3,0)*0.475*44/12</f>
        <v>0</v>
      </c>
      <c r="EY193" s="24">
        <f t="shared" si="181"/>
        <v>0</v>
      </c>
      <c r="EZ193" s="77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0" t="e">
        <f t="shared" si="131"/>
        <v>#N/A</v>
      </c>
      <c r="FJ193" s="60" t="e">
        <f ca="1">AVERAGE(OFFSET($FI$3,0,0,'Données projet'!$E$16+1,1))-AVERAGE(OFFSET($H$3,0,0,'Données projet'!$E$16+1,1))</f>
        <v>#N/A</v>
      </c>
      <c r="FK193" s="60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77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0" t="e">
        <f t="shared" si="134"/>
        <v>#N/A</v>
      </c>
      <c r="GE193" s="60" t="e">
        <f ca="1">AVERAGE(OFFSET($GD$3,0,0,'Données projet'!$E$17+1,1))-AVERAGE(OFFSET($H$3,0,0,'Données projet'!$E$17+1,1))</f>
        <v>#N/A</v>
      </c>
      <c r="GF193" s="60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77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0" t="e">
        <f t="shared" si="137"/>
        <v>#N/A</v>
      </c>
      <c r="GZ193" s="60" t="e">
        <f ca="1">AVERAGE(OFFSET($GY$3,0,0,'Données projet'!$E$18+1,1))-AVERAGE(OFFSET($H$3,0,0,'Données projet'!$E$18+1,1))</f>
        <v>#N/A</v>
      </c>
      <c r="HA193" s="60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25">
      <c r="A194" s="11">
        <f t="shared" si="161"/>
        <v>191</v>
      </c>
      <c r="B194" s="74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2">
        <f t="shared" si="140"/>
        <v>0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0</v>
      </c>
      <c r="H194" s="67">
        <f t="shared" si="110"/>
        <v>256.66666666666669</v>
      </c>
      <c r="I194" s="7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1.1368683772161603E-13</v>
      </c>
      <c r="O194" s="14">
        <f>N194*VLOOKUP('Données projet'!$B$9,Paramètres!$A$1:$I$89,3,0)*VLOOKUP('Données projet'!$B$9,Paramètres!$A$1:$I$89,5,0)</f>
        <v>1.0818439477588981E-13</v>
      </c>
      <c r="P194" s="14">
        <f t="shared" si="141"/>
        <v>1.6104228458716316E-12</v>
      </c>
      <c r="Q194" s="22">
        <f t="shared" si="162"/>
        <v>2.9932409441277661E-12</v>
      </c>
      <c r="R194" s="60">
        <f t="shared" si="109"/>
        <v>293.33333333333633</v>
      </c>
      <c r="S194" s="60">
        <f ca="1">AVERAGE(OFFSET($R$3,0,0,'Données projet'!$E$9+1,1))-AVERAGE(OFFSET($H$3,0,0,'Données projet'!$E$9+1,1))</f>
        <v>403.49781966317852</v>
      </c>
      <c r="T194" s="60">
        <f t="shared" si="142"/>
        <v>326.06674572505409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0</v>
      </c>
      <c r="AA194" s="23">
        <f>EXP(-LN(2)/25)*AA193+(1-EXP(-LN(2)/25))/(LN(2)/25)*Calculateur!V194*Calculateur!X194*VLOOKUP('Données projet'!$B$9,Paramètres!$A$1:$I$89,3,0)*0.475*44/12</f>
        <v>0</v>
      </c>
      <c r="AB194" s="23">
        <f>EXP(-LN(2)/2)*AB193+(1-EXP(-LN(2)/2))/(LN(2)/2)*V194*Y194*VLOOKUP('Données projet'!$B$9,Paramètres!$A$1:$I$89,3,0)*0.475*44/12</f>
        <v>0</v>
      </c>
      <c r="AC194" s="24">
        <f t="shared" si="163"/>
        <v>0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-1.1368683772161603E-13</v>
      </c>
      <c r="AJ194" s="14">
        <f>AI194*VLOOKUP('Données projet'!$B$10,Paramètres!$A$1:$I$89,3,0)*VLOOKUP('Données projet'!$B$10,Paramètres!$A$1:$I$89,5,0)</f>
        <v>-9.9316821433603781E-14</v>
      </c>
      <c r="AK194" s="14" t="e">
        <f t="shared" si="164"/>
        <v>#NUM!</v>
      </c>
      <c r="AL194" s="22" t="e">
        <f t="shared" si="165"/>
        <v>#NUM!</v>
      </c>
      <c r="AM194" s="60" t="e">
        <f t="shared" si="113"/>
        <v>#NUM!</v>
      </c>
      <c r="AN194" s="60">
        <f ca="1">AVERAGE(OFFSET($AM$3,0,0,'Données projet'!$E$10+1,1))-AVERAGE(OFFSET($H$3,0,0,'Données projet'!$E$10+1,1))</f>
        <v>274.66236526869056</v>
      </c>
      <c r="AO194" s="60">
        <f t="shared" si="144"/>
        <v>256.90876395053073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>
        <f>EXP(-LN(2)/35)*AU193+(1-EXP(-LN(2)/35))/(LN(2)/35)*AQ194*AR194*VLOOKUP('Données projet'!$B$10,Paramètres!$A$1:$I$89,3,0)*0.475*44/12</f>
        <v>0</v>
      </c>
      <c r="AV194" s="23">
        <f>EXP(-LN(2)/25)*AV193+(1-EXP(-LN(2)/25))/(LN(2)/25)*Calculateur!AQ194*Calculateur!AS194*VLOOKUP('Données projet'!$B$10,Paramètres!$A$1:$I$89,3,0)*0.475*44/12</f>
        <v>0</v>
      </c>
      <c r="AW194" s="23">
        <f>EXP(-LN(2)/2)*AW193+(1-EXP(-LN(2)/2))/(LN(2)/2)*AQ194*AT194*VLOOKUP('Données projet'!$B$10,Paramètres!$A$1:$I$89,3,0)*0.475*44/12</f>
        <v>0</v>
      </c>
      <c r="AX194" s="23">
        <f t="shared" si="166"/>
        <v>0</v>
      </c>
      <c r="AY194" s="76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-1.1368683772161603E-13</v>
      </c>
      <c r="BE194" s="14">
        <f>BD194*VLOOKUP('Données projet'!$B$11,Paramètres!$A$1:$I$89,3,0)*VLOOKUP('Données projet'!$B$11,Paramètres!$A$1:$I$89,5,0)</f>
        <v>-1.0286385077051818E-13</v>
      </c>
      <c r="BF194" s="14" t="e">
        <f t="shared" si="167"/>
        <v>#NUM!</v>
      </c>
      <c r="BG194" s="22" t="e">
        <f t="shared" si="168"/>
        <v>#NUM!</v>
      </c>
      <c r="BH194" s="60" t="e">
        <f t="shared" si="116"/>
        <v>#NUM!</v>
      </c>
      <c r="BI194" s="60">
        <f ca="1">AVERAGE(OFFSET($BH$3,0,0,'Données projet'!$E$11+1,1))-AVERAGE(OFFSET($H$3,0,0,'Données projet'!$E$11+1,1))</f>
        <v>529.25712986118265</v>
      </c>
      <c r="BJ194" s="60">
        <f t="shared" si="146"/>
        <v>278.21741231699929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>
        <f>EXP(-LN(2)/35)*BP193+(1-EXP(-LN(2)/35))/(LN(2)/35)*BL194*BM194*VLOOKUP('Données projet'!$B$11,Paramètres!$A$1:$I$89,3,0)*0.475*44/12</f>
        <v>0</v>
      </c>
      <c r="BQ194" s="23">
        <f>EXP(-LN(2)/25)*BQ193+(1-EXP(-LN(2)/25))/(LN(2)/25)*Calculateur!BL194*Calculateur!BN194*VLOOKUP('Données projet'!$B$11,Paramètres!$A$1:$I$89,3,0)*0.475*44/12</f>
        <v>0</v>
      </c>
      <c r="BR194" s="23">
        <f>EXP(-LN(2)/2)*BR193+(1-EXP(-LN(2)/2))/(LN(2)/2)*BL194*BO194*VLOOKUP('Données projet'!$B$11,Paramètres!$A$1:$I$89,3,0)*0.475*44/12</f>
        <v>0</v>
      </c>
      <c r="BS194" s="24">
        <f t="shared" si="169"/>
        <v>0</v>
      </c>
      <c r="BT194" s="77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-1.1368683772161603E-13</v>
      </c>
      <c r="BZ194" s="14">
        <f>BY194*VLOOKUP('Données projet'!$B$12,Paramètres!$A$1:$I$89,3,0)*VLOOKUP('Données projet'!$B$12,Paramètres!$A$1:$I$89,5,0)</f>
        <v>-1.1527845344971866E-13</v>
      </c>
      <c r="CA194" s="14" t="e">
        <f t="shared" si="170"/>
        <v>#NUM!</v>
      </c>
      <c r="CB194" s="22" t="e">
        <f t="shared" si="171"/>
        <v>#NUM!</v>
      </c>
      <c r="CC194" s="60" t="e">
        <f t="shared" si="119"/>
        <v>#NUM!</v>
      </c>
      <c r="CD194" s="60">
        <f ca="1">AVERAGE(OFFSET($CC$3,0,0,'Données projet'!$E$12+1,1))-AVERAGE(OFFSET($H$3,0,0,'Données projet'!$E$12+1,1))</f>
        <v>587.74247372331615</v>
      </c>
      <c r="CE194" s="60">
        <f t="shared" si="148"/>
        <v>306.61893266146666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>
        <f>EXP(-LN(2)/35)*CK193+(1-EXP(-LN(2)/35))/(LN(2)/35)*CG194*CH194*VLOOKUP('Données projet'!$B$12,Paramètres!$A$1:$I$89,3,0)*0.475*44/12</f>
        <v>0</v>
      </c>
      <c r="CL194" s="23">
        <f>EXP(-LN(2)/25)*CL193+(1-EXP(-LN(2)/25))/(LN(2)/25)*Calculateur!CG194*Calculateur!CI194*VLOOKUP('Données projet'!$B$12,Paramètres!$A$1:$I$89,3,0)*0.475*44/12</f>
        <v>0</v>
      </c>
      <c r="CM194" s="23">
        <f>EXP(-LN(2)/2)*CM193+(1-EXP(-LN(2)/2))/(LN(2)/2)*CG194*CJ194*VLOOKUP('Données projet'!$B$12,Paramètres!$A$1:$I$89,3,0)*0.475*44/12</f>
        <v>0</v>
      </c>
      <c r="CN194" s="24">
        <f t="shared" si="172"/>
        <v>0</v>
      </c>
      <c r="CO194" s="77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-1.1368683772161603E-13</v>
      </c>
      <c r="CU194" s="18">
        <f>CT194*VLOOKUP('Données projet'!$B$13,Paramètres!$A$1:$I$89,3,0)*VLOOKUP('Données projet'!$B$13,Paramètres!$A$1:$I$89,5,0)</f>
        <v>-1.223725121235475E-13</v>
      </c>
      <c r="CV194" s="14" t="e">
        <f t="shared" si="173"/>
        <v>#NUM!</v>
      </c>
      <c r="CW194" s="22" t="e">
        <f t="shared" si="174"/>
        <v>#NUM!</v>
      </c>
      <c r="CX194" s="60" t="e">
        <f t="shared" si="122"/>
        <v>#NUM!</v>
      </c>
      <c r="CY194" s="60">
        <f ca="1">AVERAGE(OFFSET($CX$3,0,0,'Données projet'!$E$13+1,1))-AVERAGE(OFFSET($H$3,0,0,'Données projet'!$E$13+1,1))</f>
        <v>621.10465023992288</v>
      </c>
      <c r="CZ194" s="60">
        <f t="shared" si="150"/>
        <v>322.81767004794284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>
        <f>EXP(-LN(2)/35)*DF193+(1-EXP(-LN(2)/35))/(LN(2)/35)*DB194*DC194*VLOOKUP('Données projet'!$B$13,Paramètres!$A$1:$I$89,3,0)*0.475*44/12</f>
        <v>0</v>
      </c>
      <c r="DG194" s="23">
        <f>EXP(-LN(2)/25)*DG193+(1-EXP(-LN(2)/25))/(LN(2)/25)*Calculateur!DB194*Calculateur!DD194*VLOOKUP('Données projet'!$B$13,Paramètres!$A$1:$I$89,3,0)*0.475*44/12</f>
        <v>0</v>
      </c>
      <c r="DH194" s="23">
        <f>EXP(-LN(2)/2)*DH193+(1-EXP(-LN(2)/2))/(LN(2)/2)*DB194*DE194*VLOOKUP('Données projet'!$B$13,Paramètres!$A$1:$I$89,3,0)*0.475*44/12</f>
        <v>0</v>
      </c>
      <c r="DI194" s="24">
        <f t="shared" si="175"/>
        <v>0</v>
      </c>
      <c r="DJ194" s="77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-1.1368683772161603E-13</v>
      </c>
      <c r="DP194" s="18">
        <f>DO194*VLOOKUP('Données projet'!$B$14,Paramètres!$A$1:$I$89,3,0)*VLOOKUP('Données projet'!$B$14,Paramètres!$A$1:$I$89,5,0)</f>
        <v>-1.0995790944434703E-13</v>
      </c>
      <c r="DQ194" s="14" t="e">
        <f t="shared" si="176"/>
        <v>#NUM!</v>
      </c>
      <c r="DR194" s="22" t="e">
        <f t="shared" si="177"/>
        <v>#NUM!</v>
      </c>
      <c r="DS194" s="60" t="e">
        <f t="shared" si="125"/>
        <v>#NUM!</v>
      </c>
      <c r="DT194" s="60">
        <f ca="1">AVERAGE(OFFSET($DS$3,0,0,'Données projet'!$E$14+1,1))-AVERAGE(OFFSET($H$3,0,0,'Données projet'!$E$14+1,1))</f>
        <v>562.69380557620775</v>
      </c>
      <c r="DU194" s="60">
        <f t="shared" si="152"/>
        <v>294.45557293177131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>
        <f>EXP(-LN(2)/35)*EA193+(1-EXP(-LN(2)/35))/(LN(2)/35)*DW194*DX194*VLOOKUP('Données projet'!$B$14,Paramètres!$A$1:$I$89,3,0)*0.475*44/12</f>
        <v>0</v>
      </c>
      <c r="EB194" s="23">
        <f>EXP(-LN(2)/25)*EB193+(1-EXP(-LN(2)/25))/(LN(2)/25)*Calculateur!DW194*Calculateur!DY194*VLOOKUP('Données projet'!$B$14,Paramètres!$A$1:$I$89,3,0)*0.475*44/12</f>
        <v>0</v>
      </c>
      <c r="EC194" s="23">
        <f>EXP(-LN(2)/2)*EC193+(1-EXP(-LN(2)/2))/(LN(2)/2)*DW194*DZ194*VLOOKUP('Données projet'!$B$14,Paramètres!$A$1:$I$89,3,0)*0.475*44/12</f>
        <v>0</v>
      </c>
      <c r="ED194" s="24">
        <f t="shared" si="178"/>
        <v>0</v>
      </c>
      <c r="EE194" s="77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1.1368683772161603E-13</v>
      </c>
      <c r="EK194" s="18">
        <f>EJ194*VLOOKUP('Données projet'!$B$15,Paramètres!$A$1:$I$89,3,0)*VLOOKUP('Données projet'!$B$15,Paramètres!$A$1:$I$89,5,0)</f>
        <v>8.8675733422860506E-14</v>
      </c>
      <c r="EL194" s="14">
        <f t="shared" si="179"/>
        <v>1.3509285393066301E-12</v>
      </c>
      <c r="EM194" s="22">
        <f t="shared" si="180"/>
        <v>2.5073107750038623E-12</v>
      </c>
      <c r="EN194" s="60">
        <f t="shared" si="128"/>
        <v>293.33333333333582</v>
      </c>
      <c r="EO194" s="60">
        <f ca="1">AVERAGE(OFFSET($EN$3,0,0,'Données projet'!$E$15+1,1))-AVERAGE(OFFSET($H$3,0,0,'Données projet'!$E$15+1,1))</f>
        <v>292.57482726862594</v>
      </c>
      <c r="EP194" s="60">
        <f t="shared" si="154"/>
        <v>283.48738729114024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>
        <f>EXP(-LN(2)/35)*EV193+(1-EXP(-LN(2)/35))/(LN(2)/35)*ER194*ES194*VLOOKUP('Données projet'!$B$15,Paramètres!$A$1:$I$89,3,0)*0.475*44/12</f>
        <v>0</v>
      </c>
      <c r="EW194" s="23">
        <f>EXP(-LN(2)/25)*EW193+(1-EXP(-LN(2)/25))/(LN(2)/25)*Calculateur!ER194*Calculateur!ET194*VLOOKUP('Données projet'!$B$15,Paramètres!$A$1:$I$89,3,0)*0.475*44/12</f>
        <v>0</v>
      </c>
      <c r="EX194" s="23">
        <f>EXP(-LN(2)/2)*EX193+(1-EXP(-LN(2)/2))/(LN(2)/2)*ER194*EU194*VLOOKUP('Données projet'!$B$15,Paramètres!$A$1:$I$89,3,0)*0.475*44/12</f>
        <v>0</v>
      </c>
      <c r="EY194" s="24">
        <f t="shared" si="181"/>
        <v>0</v>
      </c>
      <c r="EZ194" s="77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0" t="e">
        <f t="shared" si="131"/>
        <v>#N/A</v>
      </c>
      <c r="FJ194" s="60" t="e">
        <f ca="1">AVERAGE(OFFSET($FI$3,0,0,'Données projet'!$E$16+1,1))-AVERAGE(OFFSET($H$3,0,0,'Données projet'!$E$16+1,1))</f>
        <v>#N/A</v>
      </c>
      <c r="FK194" s="60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77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0" t="e">
        <f t="shared" si="134"/>
        <v>#N/A</v>
      </c>
      <c r="GE194" s="60" t="e">
        <f ca="1">AVERAGE(OFFSET($GD$3,0,0,'Données projet'!$E$17+1,1))-AVERAGE(OFFSET($H$3,0,0,'Données projet'!$E$17+1,1))</f>
        <v>#N/A</v>
      </c>
      <c r="GF194" s="60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77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0" t="e">
        <f t="shared" si="137"/>
        <v>#N/A</v>
      </c>
      <c r="GZ194" s="60" t="e">
        <f ca="1">AVERAGE(OFFSET($GY$3,0,0,'Données projet'!$E$18+1,1))-AVERAGE(OFFSET($H$3,0,0,'Données projet'!$E$18+1,1))</f>
        <v>#N/A</v>
      </c>
      <c r="HA194" s="60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25">
      <c r="A195" s="11">
        <f t="shared" si="161"/>
        <v>192</v>
      </c>
      <c r="B195" s="74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2">
        <f t="shared" si="140"/>
        <v>0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0</v>
      </c>
      <c r="H195" s="67">
        <f t="shared" si="110"/>
        <v>256.66666666666669</v>
      </c>
      <c r="I195" s="7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1.1368683772161603E-13</v>
      </c>
      <c r="O195" s="14">
        <f>N195*VLOOKUP('Données projet'!$B$9,Paramètres!$A$1:$I$89,3,0)*VLOOKUP('Données projet'!$B$9,Paramètres!$A$1:$I$89,5,0)</f>
        <v>1.0818439477588981E-13</v>
      </c>
      <c r="P195" s="14">
        <f t="shared" si="141"/>
        <v>1.6104228458716316E-12</v>
      </c>
      <c r="Q195" s="22">
        <f t="shared" si="162"/>
        <v>2.9932409441277661E-12</v>
      </c>
      <c r="R195" s="60">
        <f t="shared" ref="R195:R203" si="191">Q195+(I195+J195)*44/12</f>
        <v>293.33333333333633</v>
      </c>
      <c r="S195" s="60">
        <f ca="1">AVERAGE(OFFSET($R$3,0,0,'Données projet'!$E$9+1,1))-AVERAGE(OFFSET($H$3,0,0,'Données projet'!$E$9+1,1))</f>
        <v>403.49781966317852</v>
      </c>
      <c r="T195" s="60">
        <f t="shared" si="142"/>
        <v>326.06674572505409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0</v>
      </c>
      <c r="AA195" s="23">
        <f>EXP(-LN(2)/25)*AA194+(1-EXP(-LN(2)/25))/(LN(2)/25)*Calculateur!V195*Calculateur!X195*VLOOKUP('Données projet'!$B$9,Paramètres!$A$1:$I$89,3,0)*0.475*44/12</f>
        <v>0</v>
      </c>
      <c r="AB195" s="23">
        <f>EXP(-LN(2)/2)*AB194+(1-EXP(-LN(2)/2))/(LN(2)/2)*V195*Y195*VLOOKUP('Données projet'!$B$9,Paramètres!$A$1:$I$89,3,0)*0.475*44/12</f>
        <v>0</v>
      </c>
      <c r="AC195" s="24">
        <f t="shared" si="163"/>
        <v>0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-1.1368683772161603E-13</v>
      </c>
      <c r="AJ195" s="14">
        <f>AI195*VLOOKUP('Données projet'!$B$10,Paramètres!$A$1:$I$89,3,0)*VLOOKUP('Données projet'!$B$10,Paramètres!$A$1:$I$89,5,0)</f>
        <v>-9.9316821433603781E-14</v>
      </c>
      <c r="AK195" s="14" t="e">
        <f t="shared" si="164"/>
        <v>#NUM!</v>
      </c>
      <c r="AL195" s="22" t="e">
        <f t="shared" si="165"/>
        <v>#NUM!</v>
      </c>
      <c r="AM195" s="60" t="e">
        <f t="shared" si="113"/>
        <v>#NUM!</v>
      </c>
      <c r="AN195" s="60">
        <f ca="1">AVERAGE(OFFSET($AM$3,0,0,'Données projet'!$E$10+1,1))-AVERAGE(OFFSET($H$3,0,0,'Données projet'!$E$10+1,1))</f>
        <v>274.66236526869056</v>
      </c>
      <c r="AO195" s="60">
        <f t="shared" si="144"/>
        <v>256.90876395053073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>
        <f>EXP(-LN(2)/35)*AU194+(1-EXP(-LN(2)/35))/(LN(2)/35)*AQ195*AR195*VLOOKUP('Données projet'!$B$10,Paramètres!$A$1:$I$89,3,0)*0.475*44/12</f>
        <v>0</v>
      </c>
      <c r="AV195" s="23">
        <f>EXP(-LN(2)/25)*AV194+(1-EXP(-LN(2)/25))/(LN(2)/25)*Calculateur!AQ195*Calculateur!AS195*VLOOKUP('Données projet'!$B$10,Paramètres!$A$1:$I$89,3,0)*0.475*44/12</f>
        <v>0</v>
      </c>
      <c r="AW195" s="23">
        <f>EXP(-LN(2)/2)*AW194+(1-EXP(-LN(2)/2))/(LN(2)/2)*AQ195*AT195*VLOOKUP('Données projet'!$B$10,Paramètres!$A$1:$I$89,3,0)*0.475*44/12</f>
        <v>0</v>
      </c>
      <c r="AX195" s="23">
        <f t="shared" si="166"/>
        <v>0</v>
      </c>
      <c r="AY195" s="76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-1.1368683772161603E-13</v>
      </c>
      <c r="BE195" s="14">
        <f>BD195*VLOOKUP('Données projet'!$B$11,Paramètres!$A$1:$I$89,3,0)*VLOOKUP('Données projet'!$B$11,Paramètres!$A$1:$I$89,5,0)</f>
        <v>-1.0286385077051818E-13</v>
      </c>
      <c r="BF195" s="14" t="e">
        <f t="shared" si="167"/>
        <v>#NUM!</v>
      </c>
      <c r="BG195" s="22" t="e">
        <f t="shared" si="168"/>
        <v>#NUM!</v>
      </c>
      <c r="BH195" s="60" t="e">
        <f t="shared" si="116"/>
        <v>#NUM!</v>
      </c>
      <c r="BI195" s="60">
        <f ca="1">AVERAGE(OFFSET($BH$3,0,0,'Données projet'!$E$11+1,1))-AVERAGE(OFFSET($H$3,0,0,'Données projet'!$E$11+1,1))</f>
        <v>529.25712986118265</v>
      </c>
      <c r="BJ195" s="60">
        <f t="shared" si="146"/>
        <v>278.21741231699929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>
        <f>EXP(-LN(2)/35)*BP194+(1-EXP(-LN(2)/35))/(LN(2)/35)*BL195*BM195*VLOOKUP('Données projet'!$B$11,Paramètres!$A$1:$I$89,3,0)*0.475*44/12</f>
        <v>0</v>
      </c>
      <c r="BQ195" s="23">
        <f>EXP(-LN(2)/25)*BQ194+(1-EXP(-LN(2)/25))/(LN(2)/25)*Calculateur!BL195*Calculateur!BN195*VLOOKUP('Données projet'!$B$11,Paramètres!$A$1:$I$89,3,0)*0.475*44/12</f>
        <v>0</v>
      </c>
      <c r="BR195" s="23">
        <f>EXP(-LN(2)/2)*BR194+(1-EXP(-LN(2)/2))/(LN(2)/2)*BL195*BO195*VLOOKUP('Données projet'!$B$11,Paramètres!$A$1:$I$89,3,0)*0.475*44/12</f>
        <v>0</v>
      </c>
      <c r="BS195" s="24">
        <f t="shared" si="169"/>
        <v>0</v>
      </c>
      <c r="BT195" s="77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-1.1368683772161603E-13</v>
      </c>
      <c r="BZ195" s="14">
        <f>BY195*VLOOKUP('Données projet'!$B$12,Paramètres!$A$1:$I$89,3,0)*VLOOKUP('Données projet'!$B$12,Paramètres!$A$1:$I$89,5,0)</f>
        <v>-1.1527845344971866E-13</v>
      </c>
      <c r="CA195" s="14" t="e">
        <f t="shared" si="170"/>
        <v>#NUM!</v>
      </c>
      <c r="CB195" s="22" t="e">
        <f t="shared" si="171"/>
        <v>#NUM!</v>
      </c>
      <c r="CC195" s="60" t="e">
        <f t="shared" si="119"/>
        <v>#NUM!</v>
      </c>
      <c r="CD195" s="60">
        <f ca="1">AVERAGE(OFFSET($CC$3,0,0,'Données projet'!$E$12+1,1))-AVERAGE(OFFSET($H$3,0,0,'Données projet'!$E$12+1,1))</f>
        <v>587.74247372331615</v>
      </c>
      <c r="CE195" s="60">
        <f t="shared" si="148"/>
        <v>306.61893266146666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>
        <f>EXP(-LN(2)/35)*CK194+(1-EXP(-LN(2)/35))/(LN(2)/35)*CG195*CH195*VLOOKUP('Données projet'!$B$12,Paramètres!$A$1:$I$89,3,0)*0.475*44/12</f>
        <v>0</v>
      </c>
      <c r="CL195" s="23">
        <f>EXP(-LN(2)/25)*CL194+(1-EXP(-LN(2)/25))/(LN(2)/25)*Calculateur!CG195*Calculateur!CI195*VLOOKUP('Données projet'!$B$12,Paramètres!$A$1:$I$89,3,0)*0.475*44/12</f>
        <v>0</v>
      </c>
      <c r="CM195" s="23">
        <f>EXP(-LN(2)/2)*CM194+(1-EXP(-LN(2)/2))/(LN(2)/2)*CG195*CJ195*VLOOKUP('Données projet'!$B$12,Paramètres!$A$1:$I$89,3,0)*0.475*44/12</f>
        <v>0</v>
      </c>
      <c r="CN195" s="24">
        <f t="shared" si="172"/>
        <v>0</v>
      </c>
      <c r="CO195" s="77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-1.1368683772161603E-13</v>
      </c>
      <c r="CU195" s="18">
        <f>CT195*VLOOKUP('Données projet'!$B$13,Paramètres!$A$1:$I$89,3,0)*VLOOKUP('Données projet'!$B$13,Paramètres!$A$1:$I$89,5,0)</f>
        <v>-1.223725121235475E-13</v>
      </c>
      <c r="CV195" s="14" t="e">
        <f t="shared" si="173"/>
        <v>#NUM!</v>
      </c>
      <c r="CW195" s="22" t="e">
        <f t="shared" si="174"/>
        <v>#NUM!</v>
      </c>
      <c r="CX195" s="60" t="e">
        <f t="shared" si="122"/>
        <v>#NUM!</v>
      </c>
      <c r="CY195" s="60">
        <f ca="1">AVERAGE(OFFSET($CX$3,0,0,'Données projet'!$E$13+1,1))-AVERAGE(OFFSET($H$3,0,0,'Données projet'!$E$13+1,1))</f>
        <v>621.10465023992288</v>
      </c>
      <c r="CZ195" s="60">
        <f t="shared" si="150"/>
        <v>322.81767004794284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>
        <f>EXP(-LN(2)/35)*DF194+(1-EXP(-LN(2)/35))/(LN(2)/35)*DB195*DC195*VLOOKUP('Données projet'!$B$13,Paramètres!$A$1:$I$89,3,0)*0.475*44/12</f>
        <v>0</v>
      </c>
      <c r="DG195" s="23">
        <f>EXP(-LN(2)/25)*DG194+(1-EXP(-LN(2)/25))/(LN(2)/25)*Calculateur!DB195*Calculateur!DD195*VLOOKUP('Données projet'!$B$13,Paramètres!$A$1:$I$89,3,0)*0.475*44/12</f>
        <v>0</v>
      </c>
      <c r="DH195" s="23">
        <f>EXP(-LN(2)/2)*DH194+(1-EXP(-LN(2)/2))/(LN(2)/2)*DB195*DE195*VLOOKUP('Données projet'!$B$13,Paramètres!$A$1:$I$89,3,0)*0.475*44/12</f>
        <v>0</v>
      </c>
      <c r="DI195" s="24">
        <f t="shared" si="175"/>
        <v>0</v>
      </c>
      <c r="DJ195" s="77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-1.1368683772161603E-13</v>
      </c>
      <c r="DP195" s="18">
        <f>DO195*VLOOKUP('Données projet'!$B$14,Paramètres!$A$1:$I$89,3,0)*VLOOKUP('Données projet'!$B$14,Paramètres!$A$1:$I$89,5,0)</f>
        <v>-1.0995790944434703E-13</v>
      </c>
      <c r="DQ195" s="14" t="e">
        <f t="shared" si="176"/>
        <v>#NUM!</v>
      </c>
      <c r="DR195" s="22" t="e">
        <f t="shared" si="177"/>
        <v>#NUM!</v>
      </c>
      <c r="DS195" s="60" t="e">
        <f t="shared" si="125"/>
        <v>#NUM!</v>
      </c>
      <c r="DT195" s="60">
        <f ca="1">AVERAGE(OFFSET($DS$3,0,0,'Données projet'!$E$14+1,1))-AVERAGE(OFFSET($H$3,0,0,'Données projet'!$E$14+1,1))</f>
        <v>562.69380557620775</v>
      </c>
      <c r="DU195" s="60">
        <f t="shared" si="152"/>
        <v>294.45557293177131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>
        <f>EXP(-LN(2)/35)*EA194+(1-EXP(-LN(2)/35))/(LN(2)/35)*DW195*DX195*VLOOKUP('Données projet'!$B$14,Paramètres!$A$1:$I$89,3,0)*0.475*44/12</f>
        <v>0</v>
      </c>
      <c r="EB195" s="23">
        <f>EXP(-LN(2)/25)*EB194+(1-EXP(-LN(2)/25))/(LN(2)/25)*Calculateur!DW195*Calculateur!DY195*VLOOKUP('Données projet'!$B$14,Paramètres!$A$1:$I$89,3,0)*0.475*44/12</f>
        <v>0</v>
      </c>
      <c r="EC195" s="23">
        <f>EXP(-LN(2)/2)*EC194+(1-EXP(-LN(2)/2))/(LN(2)/2)*DW195*DZ195*VLOOKUP('Données projet'!$B$14,Paramètres!$A$1:$I$89,3,0)*0.475*44/12</f>
        <v>0</v>
      </c>
      <c r="ED195" s="24">
        <f t="shared" si="178"/>
        <v>0</v>
      </c>
      <c r="EE195" s="77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1.1368683772161603E-13</v>
      </c>
      <c r="EK195" s="18">
        <f>EJ195*VLOOKUP('Données projet'!$B$15,Paramètres!$A$1:$I$89,3,0)*VLOOKUP('Données projet'!$B$15,Paramètres!$A$1:$I$89,5,0)</f>
        <v>8.8675733422860506E-14</v>
      </c>
      <c r="EL195" s="14">
        <f t="shared" si="179"/>
        <v>1.3509285393066301E-12</v>
      </c>
      <c r="EM195" s="22">
        <f t="shared" si="180"/>
        <v>2.5073107750038623E-12</v>
      </c>
      <c r="EN195" s="60">
        <f t="shared" si="128"/>
        <v>293.33333333333582</v>
      </c>
      <c r="EO195" s="60">
        <f ca="1">AVERAGE(OFFSET($EN$3,0,0,'Données projet'!$E$15+1,1))-AVERAGE(OFFSET($H$3,0,0,'Données projet'!$E$15+1,1))</f>
        <v>292.57482726862594</v>
      </c>
      <c r="EP195" s="60">
        <f t="shared" si="154"/>
        <v>283.48738729114024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>
        <f>EXP(-LN(2)/35)*EV194+(1-EXP(-LN(2)/35))/(LN(2)/35)*ER195*ES195*VLOOKUP('Données projet'!$B$15,Paramètres!$A$1:$I$89,3,0)*0.475*44/12</f>
        <v>0</v>
      </c>
      <c r="EW195" s="23">
        <f>EXP(-LN(2)/25)*EW194+(1-EXP(-LN(2)/25))/(LN(2)/25)*Calculateur!ER195*Calculateur!ET195*VLOOKUP('Données projet'!$B$15,Paramètres!$A$1:$I$89,3,0)*0.475*44/12</f>
        <v>0</v>
      </c>
      <c r="EX195" s="23">
        <f>EXP(-LN(2)/2)*EX194+(1-EXP(-LN(2)/2))/(LN(2)/2)*ER195*EU195*VLOOKUP('Données projet'!$B$15,Paramètres!$A$1:$I$89,3,0)*0.475*44/12</f>
        <v>0</v>
      </c>
      <c r="EY195" s="24">
        <f t="shared" si="181"/>
        <v>0</v>
      </c>
      <c r="EZ195" s="77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0" t="e">
        <f t="shared" si="131"/>
        <v>#N/A</v>
      </c>
      <c r="FJ195" s="60" t="e">
        <f ca="1">AVERAGE(OFFSET($FI$3,0,0,'Données projet'!$E$16+1,1))-AVERAGE(OFFSET($H$3,0,0,'Données projet'!$E$16+1,1))</f>
        <v>#N/A</v>
      </c>
      <c r="FK195" s="60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77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0" t="e">
        <f t="shared" si="134"/>
        <v>#N/A</v>
      </c>
      <c r="GE195" s="60" t="e">
        <f ca="1">AVERAGE(OFFSET($GD$3,0,0,'Données projet'!$E$17+1,1))-AVERAGE(OFFSET($H$3,0,0,'Données projet'!$E$17+1,1))</f>
        <v>#N/A</v>
      </c>
      <c r="GF195" s="60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77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0" t="e">
        <f t="shared" si="137"/>
        <v>#N/A</v>
      </c>
      <c r="GZ195" s="60" t="e">
        <f ca="1">AVERAGE(OFFSET($GY$3,0,0,'Données projet'!$E$18+1,1))-AVERAGE(OFFSET($H$3,0,0,'Données projet'!$E$18+1,1))</f>
        <v>#N/A</v>
      </c>
      <c r="HA195" s="60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25">
      <c r="A196" s="11">
        <f t="shared" si="161"/>
        <v>193</v>
      </c>
      <c r="B196" s="74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2">
        <f t="shared" si="140"/>
        <v>0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0</v>
      </c>
      <c r="H196" s="67">
        <f t="shared" ref="H196:H203" si="192">(B196+E196+F196)*44/12+(C196+D196)*0.475*44/12</f>
        <v>256.66666666666669</v>
      </c>
      <c r="I196" s="7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1.1368683772161603E-13</v>
      </c>
      <c r="O196" s="14">
        <f>N196*VLOOKUP('Données projet'!$B$9,Paramètres!$A$1:$I$89,3,0)*VLOOKUP('Données projet'!$B$9,Paramètres!$A$1:$I$89,5,0)</f>
        <v>1.0818439477588981E-13</v>
      </c>
      <c r="P196" s="14">
        <f t="shared" si="141"/>
        <v>1.6104228458716316E-12</v>
      </c>
      <c r="Q196" s="22">
        <f t="shared" si="162"/>
        <v>2.9932409441277661E-12</v>
      </c>
      <c r="R196" s="60">
        <f t="shared" si="191"/>
        <v>293.33333333333633</v>
      </c>
      <c r="S196" s="60">
        <f ca="1">AVERAGE(OFFSET($R$3,0,0,'Données projet'!$E$9+1,1))-AVERAGE(OFFSET($H$3,0,0,'Données projet'!$E$9+1,1))</f>
        <v>403.49781966317852</v>
      </c>
      <c r="T196" s="60">
        <f t="shared" si="142"/>
        <v>326.06674572505409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0</v>
      </c>
      <c r="AA196" s="23">
        <f>EXP(-LN(2)/25)*AA195+(1-EXP(-LN(2)/25))/(LN(2)/25)*Calculateur!V196*Calculateur!X196*VLOOKUP('Données projet'!$B$9,Paramètres!$A$1:$I$89,3,0)*0.475*44/12</f>
        <v>0</v>
      </c>
      <c r="AB196" s="23">
        <f>EXP(-LN(2)/2)*AB195+(1-EXP(-LN(2)/2))/(LN(2)/2)*V196*Y196*VLOOKUP('Données projet'!$B$9,Paramètres!$A$1:$I$89,3,0)*0.475*44/12</f>
        <v>0</v>
      </c>
      <c r="AC196" s="24">
        <f t="shared" si="163"/>
        <v>0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-1.1368683772161603E-13</v>
      </c>
      <c r="AJ196" s="14">
        <f>AI196*VLOOKUP('Données projet'!$B$10,Paramètres!$A$1:$I$89,3,0)*VLOOKUP('Données projet'!$B$10,Paramètres!$A$1:$I$89,5,0)</f>
        <v>-9.9316821433603781E-14</v>
      </c>
      <c r="AK196" s="14" t="e">
        <f t="shared" si="164"/>
        <v>#NUM!</v>
      </c>
      <c r="AL196" s="22" t="e">
        <f t="shared" si="165"/>
        <v>#NUM!</v>
      </c>
      <c r="AM196" s="60" t="e">
        <f t="shared" ref="AM196:AM203" si="193">AL196+(AD196+AE196)*44/12</f>
        <v>#NUM!</v>
      </c>
      <c r="AN196" s="60">
        <f ca="1">AVERAGE(OFFSET($AM$3,0,0,'Données projet'!$E$10+1,1))-AVERAGE(OFFSET($H$3,0,0,'Données projet'!$E$10+1,1))</f>
        <v>274.66236526869056</v>
      </c>
      <c r="AO196" s="60">
        <f t="shared" si="144"/>
        <v>256.90876395053073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>
        <f>EXP(-LN(2)/35)*AU195+(1-EXP(-LN(2)/35))/(LN(2)/35)*AQ196*AR196*VLOOKUP('Données projet'!$B$10,Paramètres!$A$1:$I$89,3,0)*0.475*44/12</f>
        <v>0</v>
      </c>
      <c r="AV196" s="23">
        <f>EXP(-LN(2)/25)*AV195+(1-EXP(-LN(2)/25))/(LN(2)/25)*Calculateur!AQ196*Calculateur!AS196*VLOOKUP('Données projet'!$B$10,Paramètres!$A$1:$I$89,3,0)*0.475*44/12</f>
        <v>0</v>
      </c>
      <c r="AW196" s="23">
        <f>EXP(-LN(2)/2)*AW195+(1-EXP(-LN(2)/2))/(LN(2)/2)*AQ196*AT196*VLOOKUP('Données projet'!$B$10,Paramètres!$A$1:$I$89,3,0)*0.475*44/12</f>
        <v>0</v>
      </c>
      <c r="AX196" s="23">
        <f t="shared" si="166"/>
        <v>0</v>
      </c>
      <c r="AY196" s="76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-1.1368683772161603E-13</v>
      </c>
      <c r="BE196" s="14">
        <f>BD196*VLOOKUP('Données projet'!$B$11,Paramètres!$A$1:$I$89,3,0)*VLOOKUP('Données projet'!$B$11,Paramètres!$A$1:$I$89,5,0)</f>
        <v>-1.0286385077051818E-13</v>
      </c>
      <c r="BF196" s="14" t="e">
        <f t="shared" si="167"/>
        <v>#NUM!</v>
      </c>
      <c r="BG196" s="22" t="e">
        <f t="shared" si="168"/>
        <v>#NUM!</v>
      </c>
      <c r="BH196" s="60" t="e">
        <f t="shared" ref="BH196:BH203" si="194">BG196+(AY196+AZ196)*44/12</f>
        <v>#NUM!</v>
      </c>
      <c r="BI196" s="60">
        <f ca="1">AVERAGE(OFFSET($BH$3,0,0,'Données projet'!$E$11+1,1))-AVERAGE(OFFSET($H$3,0,0,'Données projet'!$E$11+1,1))</f>
        <v>529.25712986118265</v>
      </c>
      <c r="BJ196" s="60">
        <f t="shared" si="146"/>
        <v>278.21741231699929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>
        <f>EXP(-LN(2)/35)*BP195+(1-EXP(-LN(2)/35))/(LN(2)/35)*BL196*BM196*VLOOKUP('Données projet'!$B$11,Paramètres!$A$1:$I$89,3,0)*0.475*44/12</f>
        <v>0</v>
      </c>
      <c r="BQ196" s="23">
        <f>EXP(-LN(2)/25)*BQ195+(1-EXP(-LN(2)/25))/(LN(2)/25)*Calculateur!BL196*Calculateur!BN196*VLOOKUP('Données projet'!$B$11,Paramètres!$A$1:$I$89,3,0)*0.475*44/12</f>
        <v>0</v>
      </c>
      <c r="BR196" s="23">
        <f>EXP(-LN(2)/2)*BR195+(1-EXP(-LN(2)/2))/(LN(2)/2)*BL196*BO196*VLOOKUP('Données projet'!$B$11,Paramètres!$A$1:$I$89,3,0)*0.475*44/12</f>
        <v>0</v>
      </c>
      <c r="BS196" s="24">
        <f t="shared" si="169"/>
        <v>0</v>
      </c>
      <c r="BT196" s="77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-1.1368683772161603E-13</v>
      </c>
      <c r="BZ196" s="14">
        <f>BY196*VLOOKUP('Données projet'!$B$12,Paramètres!$A$1:$I$89,3,0)*VLOOKUP('Données projet'!$B$12,Paramètres!$A$1:$I$89,5,0)</f>
        <v>-1.1527845344971866E-13</v>
      </c>
      <c r="CA196" s="14" t="e">
        <f t="shared" si="170"/>
        <v>#NUM!</v>
      </c>
      <c r="CB196" s="22" t="e">
        <f t="shared" si="171"/>
        <v>#NUM!</v>
      </c>
      <c r="CC196" s="60" t="e">
        <f t="shared" ref="CC196:CC203" si="195">CB196+(BT196+BU196)*44/12</f>
        <v>#NUM!</v>
      </c>
      <c r="CD196" s="60">
        <f ca="1">AVERAGE(OFFSET($CC$3,0,0,'Données projet'!$E$12+1,1))-AVERAGE(OFFSET($H$3,0,0,'Données projet'!$E$12+1,1))</f>
        <v>587.74247372331615</v>
      </c>
      <c r="CE196" s="60">
        <f t="shared" si="148"/>
        <v>306.61893266146666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>
        <f>EXP(-LN(2)/35)*CK195+(1-EXP(-LN(2)/35))/(LN(2)/35)*CG196*CH196*VLOOKUP('Données projet'!$B$12,Paramètres!$A$1:$I$89,3,0)*0.475*44/12</f>
        <v>0</v>
      </c>
      <c r="CL196" s="23">
        <f>EXP(-LN(2)/25)*CL195+(1-EXP(-LN(2)/25))/(LN(2)/25)*Calculateur!CG196*Calculateur!CI196*VLOOKUP('Données projet'!$B$12,Paramètres!$A$1:$I$89,3,0)*0.475*44/12</f>
        <v>0</v>
      </c>
      <c r="CM196" s="23">
        <f>EXP(-LN(2)/2)*CM195+(1-EXP(-LN(2)/2))/(LN(2)/2)*CG196*CJ196*VLOOKUP('Données projet'!$B$12,Paramètres!$A$1:$I$89,3,0)*0.475*44/12</f>
        <v>0</v>
      </c>
      <c r="CN196" s="24">
        <f t="shared" si="172"/>
        <v>0</v>
      </c>
      <c r="CO196" s="77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-1.1368683772161603E-13</v>
      </c>
      <c r="CU196" s="18">
        <f>CT196*VLOOKUP('Données projet'!$B$13,Paramètres!$A$1:$I$89,3,0)*VLOOKUP('Données projet'!$B$13,Paramètres!$A$1:$I$89,5,0)</f>
        <v>-1.223725121235475E-13</v>
      </c>
      <c r="CV196" s="14" t="e">
        <f t="shared" si="173"/>
        <v>#NUM!</v>
      </c>
      <c r="CW196" s="22" t="e">
        <f t="shared" si="174"/>
        <v>#NUM!</v>
      </c>
      <c r="CX196" s="60" t="e">
        <f t="shared" ref="CX196:CX203" si="196">CW196+(CO196+CP196)*44/12</f>
        <v>#NUM!</v>
      </c>
      <c r="CY196" s="60">
        <f ca="1">AVERAGE(OFFSET($CX$3,0,0,'Données projet'!$E$13+1,1))-AVERAGE(OFFSET($H$3,0,0,'Données projet'!$E$13+1,1))</f>
        <v>621.10465023992288</v>
      </c>
      <c r="CZ196" s="60">
        <f t="shared" si="150"/>
        <v>322.81767004794284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>
        <f>EXP(-LN(2)/35)*DF195+(1-EXP(-LN(2)/35))/(LN(2)/35)*DB196*DC196*VLOOKUP('Données projet'!$B$13,Paramètres!$A$1:$I$89,3,0)*0.475*44/12</f>
        <v>0</v>
      </c>
      <c r="DG196" s="23">
        <f>EXP(-LN(2)/25)*DG195+(1-EXP(-LN(2)/25))/(LN(2)/25)*Calculateur!DB196*Calculateur!DD196*VLOOKUP('Données projet'!$B$13,Paramètres!$A$1:$I$89,3,0)*0.475*44/12</f>
        <v>0</v>
      </c>
      <c r="DH196" s="23">
        <f>EXP(-LN(2)/2)*DH195+(1-EXP(-LN(2)/2))/(LN(2)/2)*DB196*DE196*VLOOKUP('Données projet'!$B$13,Paramètres!$A$1:$I$89,3,0)*0.475*44/12</f>
        <v>0</v>
      </c>
      <c r="DI196" s="24">
        <f t="shared" si="175"/>
        <v>0</v>
      </c>
      <c r="DJ196" s="77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-1.1368683772161603E-13</v>
      </c>
      <c r="DP196" s="18">
        <f>DO196*VLOOKUP('Données projet'!$B$14,Paramètres!$A$1:$I$89,3,0)*VLOOKUP('Données projet'!$B$14,Paramètres!$A$1:$I$89,5,0)</f>
        <v>-1.0995790944434703E-13</v>
      </c>
      <c r="DQ196" s="14" t="e">
        <f t="shared" si="176"/>
        <v>#NUM!</v>
      </c>
      <c r="DR196" s="22" t="e">
        <f t="shared" si="177"/>
        <v>#NUM!</v>
      </c>
      <c r="DS196" s="60" t="e">
        <f t="shared" ref="DS196:DS203" si="197">DR196+(DJ196+DK196)*44/12</f>
        <v>#NUM!</v>
      </c>
      <c r="DT196" s="60">
        <f ca="1">AVERAGE(OFFSET($DS$3,0,0,'Données projet'!$E$14+1,1))-AVERAGE(OFFSET($H$3,0,0,'Données projet'!$E$14+1,1))</f>
        <v>562.69380557620775</v>
      </c>
      <c r="DU196" s="60">
        <f t="shared" si="152"/>
        <v>294.45557293177131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>
        <f>EXP(-LN(2)/35)*EA195+(1-EXP(-LN(2)/35))/(LN(2)/35)*DW196*DX196*VLOOKUP('Données projet'!$B$14,Paramètres!$A$1:$I$89,3,0)*0.475*44/12</f>
        <v>0</v>
      </c>
      <c r="EB196" s="23">
        <f>EXP(-LN(2)/25)*EB195+(1-EXP(-LN(2)/25))/(LN(2)/25)*Calculateur!DW196*Calculateur!DY196*VLOOKUP('Données projet'!$B$14,Paramètres!$A$1:$I$89,3,0)*0.475*44/12</f>
        <v>0</v>
      </c>
      <c r="EC196" s="23">
        <f>EXP(-LN(2)/2)*EC195+(1-EXP(-LN(2)/2))/(LN(2)/2)*DW196*DZ196*VLOOKUP('Données projet'!$B$14,Paramètres!$A$1:$I$89,3,0)*0.475*44/12</f>
        <v>0</v>
      </c>
      <c r="ED196" s="24">
        <f t="shared" si="178"/>
        <v>0</v>
      </c>
      <c r="EE196" s="77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1.1368683772161603E-13</v>
      </c>
      <c r="EK196" s="18">
        <f>EJ196*VLOOKUP('Données projet'!$B$15,Paramètres!$A$1:$I$89,3,0)*VLOOKUP('Données projet'!$B$15,Paramètres!$A$1:$I$89,5,0)</f>
        <v>8.8675733422860506E-14</v>
      </c>
      <c r="EL196" s="14">
        <f t="shared" si="179"/>
        <v>1.3509285393066301E-12</v>
      </c>
      <c r="EM196" s="22">
        <f t="shared" si="180"/>
        <v>2.5073107750038623E-12</v>
      </c>
      <c r="EN196" s="60">
        <f t="shared" ref="EN196:EN203" si="198">EM196+(EE196+EF196)*44/12</f>
        <v>293.33333333333582</v>
      </c>
      <c r="EO196" s="60">
        <f ca="1">AVERAGE(OFFSET($EN$3,0,0,'Données projet'!$E$15+1,1))-AVERAGE(OFFSET($H$3,0,0,'Données projet'!$E$15+1,1))</f>
        <v>292.57482726862594</v>
      </c>
      <c r="EP196" s="60">
        <f t="shared" si="154"/>
        <v>283.48738729114024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>
        <f>EXP(-LN(2)/35)*EV195+(1-EXP(-LN(2)/35))/(LN(2)/35)*ER196*ES196*VLOOKUP('Données projet'!$B$15,Paramètres!$A$1:$I$89,3,0)*0.475*44/12</f>
        <v>0</v>
      </c>
      <c r="EW196" s="23">
        <f>EXP(-LN(2)/25)*EW195+(1-EXP(-LN(2)/25))/(LN(2)/25)*Calculateur!ER196*Calculateur!ET196*VLOOKUP('Données projet'!$B$15,Paramètres!$A$1:$I$89,3,0)*0.475*44/12</f>
        <v>0</v>
      </c>
      <c r="EX196" s="23">
        <f>EXP(-LN(2)/2)*EX195+(1-EXP(-LN(2)/2))/(LN(2)/2)*ER196*EU196*VLOOKUP('Données projet'!$B$15,Paramètres!$A$1:$I$89,3,0)*0.475*44/12</f>
        <v>0</v>
      </c>
      <c r="EY196" s="24">
        <f t="shared" si="181"/>
        <v>0</v>
      </c>
      <c r="EZ196" s="77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0" t="e">
        <f t="shared" ref="FI196:FI203" si="199">FH196+(EZ196+FA196)*44/12</f>
        <v>#N/A</v>
      </c>
      <c r="FJ196" s="60" t="e">
        <f ca="1">AVERAGE(OFFSET($FI$3,0,0,'Données projet'!$E$16+1,1))-AVERAGE(OFFSET($H$3,0,0,'Données projet'!$E$16+1,1))</f>
        <v>#N/A</v>
      </c>
      <c r="FK196" s="60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77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0" t="e">
        <f t="shared" ref="GD196:GD203" si="200">GC196+(FU196+FV196)*44/12</f>
        <v>#N/A</v>
      </c>
      <c r="GE196" s="60" t="e">
        <f ca="1">AVERAGE(OFFSET($GD$3,0,0,'Données projet'!$E$17+1,1))-AVERAGE(OFFSET($H$3,0,0,'Données projet'!$E$17+1,1))</f>
        <v>#N/A</v>
      </c>
      <c r="GF196" s="60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77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0" t="e">
        <f t="shared" ref="GY196:GY203" si="201">GX196+(GP196+GQ196)*44/12</f>
        <v>#N/A</v>
      </c>
      <c r="GZ196" s="60" t="e">
        <f ca="1">AVERAGE(OFFSET($GY$3,0,0,'Données projet'!$E$18+1,1))-AVERAGE(OFFSET($H$3,0,0,'Données projet'!$E$18+1,1))</f>
        <v>#N/A</v>
      </c>
      <c r="HA196" s="60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25">
      <c r="A197" s="11">
        <f t="shared" si="161"/>
        <v>194</v>
      </c>
      <c r="B197" s="74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2">
        <f t="shared" ref="D197:D203" si="202">IFERROR(EXP(-1.0587+0.8836*LN(C197)+0.284),0)</f>
        <v>0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0</v>
      </c>
      <c r="H197" s="67">
        <f t="shared" si="192"/>
        <v>256.66666666666669</v>
      </c>
      <c r="I197" s="7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1.1368683772161603E-13</v>
      </c>
      <c r="O197" s="14">
        <f>N197*VLOOKUP('Données projet'!$B$9,Paramètres!$A$1:$I$89,3,0)*VLOOKUP('Données projet'!$B$9,Paramètres!$A$1:$I$89,5,0)</f>
        <v>1.0818439477588981E-13</v>
      </c>
      <c r="P197" s="14">
        <f t="shared" ref="P197:P203" si="203">EXP(-1.0587+0.8836*LN(O197)+0.284)</f>
        <v>1.6104228458716316E-12</v>
      </c>
      <c r="Q197" s="22">
        <f t="shared" si="162"/>
        <v>2.9932409441277661E-12</v>
      </c>
      <c r="R197" s="60">
        <f t="shared" si="191"/>
        <v>293.33333333333633</v>
      </c>
      <c r="S197" s="60">
        <f ca="1">AVERAGE(OFFSET($R$3,0,0,'Données projet'!$E$9+1,1))-AVERAGE(OFFSET($H$3,0,0,'Données projet'!$E$9+1,1))</f>
        <v>403.49781966317852</v>
      </c>
      <c r="T197" s="60">
        <f t="shared" ref="T197:T203" si="204">$T$3</f>
        <v>326.06674572505409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0</v>
      </c>
      <c r="AA197" s="23">
        <f>EXP(-LN(2)/25)*AA196+(1-EXP(-LN(2)/25))/(LN(2)/25)*Calculateur!V197*Calculateur!X197*VLOOKUP('Données projet'!$B$9,Paramètres!$A$1:$I$89,3,0)*0.475*44/12</f>
        <v>0</v>
      </c>
      <c r="AB197" s="23">
        <f>EXP(-LN(2)/2)*AB196+(1-EXP(-LN(2)/2))/(LN(2)/2)*V197*Y197*VLOOKUP('Données projet'!$B$9,Paramètres!$A$1:$I$89,3,0)*0.475*44/12</f>
        <v>0</v>
      </c>
      <c r="AC197" s="24">
        <f t="shared" si="163"/>
        <v>0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-1.1368683772161603E-13</v>
      </c>
      <c r="AJ197" s="14">
        <f>AI197*VLOOKUP('Données projet'!$B$10,Paramètres!$A$1:$I$89,3,0)*VLOOKUP('Données projet'!$B$10,Paramètres!$A$1:$I$89,5,0)</f>
        <v>-9.9316821433603781E-14</v>
      </c>
      <c r="AK197" s="14" t="e">
        <f t="shared" si="164"/>
        <v>#NUM!</v>
      </c>
      <c r="AL197" s="22" t="e">
        <f t="shared" si="165"/>
        <v>#NUM!</v>
      </c>
      <c r="AM197" s="60" t="e">
        <f t="shared" si="193"/>
        <v>#NUM!</v>
      </c>
      <c r="AN197" s="60">
        <f ca="1">AVERAGE(OFFSET($AM$3,0,0,'Données projet'!$E$10+1,1))-AVERAGE(OFFSET($H$3,0,0,'Données projet'!$E$10+1,1))</f>
        <v>274.66236526869056</v>
      </c>
      <c r="AO197" s="60">
        <f t="shared" ref="AO197:AO203" si="205">$AO$3</f>
        <v>256.90876395053073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>
        <f>EXP(-LN(2)/35)*AU196+(1-EXP(-LN(2)/35))/(LN(2)/35)*AQ197*AR197*VLOOKUP('Données projet'!$B$10,Paramètres!$A$1:$I$89,3,0)*0.475*44/12</f>
        <v>0</v>
      </c>
      <c r="AV197" s="23">
        <f>EXP(-LN(2)/25)*AV196+(1-EXP(-LN(2)/25))/(LN(2)/25)*Calculateur!AQ197*Calculateur!AS197*VLOOKUP('Données projet'!$B$10,Paramètres!$A$1:$I$89,3,0)*0.475*44/12</f>
        <v>0</v>
      </c>
      <c r="AW197" s="23">
        <f>EXP(-LN(2)/2)*AW196+(1-EXP(-LN(2)/2))/(LN(2)/2)*AQ197*AT197*VLOOKUP('Données projet'!$B$10,Paramètres!$A$1:$I$89,3,0)*0.475*44/12</f>
        <v>0</v>
      </c>
      <c r="AX197" s="23">
        <f t="shared" si="166"/>
        <v>0</v>
      </c>
      <c r="AY197" s="76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-1.1368683772161603E-13</v>
      </c>
      <c r="BE197" s="14">
        <f>BD197*VLOOKUP('Données projet'!$B$11,Paramètres!$A$1:$I$89,3,0)*VLOOKUP('Données projet'!$B$11,Paramètres!$A$1:$I$89,5,0)</f>
        <v>-1.0286385077051818E-13</v>
      </c>
      <c r="BF197" s="14" t="e">
        <f t="shared" si="167"/>
        <v>#NUM!</v>
      </c>
      <c r="BG197" s="22" t="e">
        <f t="shared" si="168"/>
        <v>#NUM!</v>
      </c>
      <c r="BH197" s="60" t="e">
        <f t="shared" si="194"/>
        <v>#NUM!</v>
      </c>
      <c r="BI197" s="60">
        <f ca="1">AVERAGE(OFFSET($BH$3,0,0,'Données projet'!$E$11+1,1))-AVERAGE(OFFSET($H$3,0,0,'Données projet'!$E$11+1,1))</f>
        <v>529.25712986118265</v>
      </c>
      <c r="BJ197" s="60">
        <f t="shared" ref="BJ197:BJ203" si="206">$BJ$3</f>
        <v>278.21741231699929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>
        <f>EXP(-LN(2)/35)*BP196+(1-EXP(-LN(2)/35))/(LN(2)/35)*BL197*BM197*VLOOKUP('Données projet'!$B$11,Paramètres!$A$1:$I$89,3,0)*0.475*44/12</f>
        <v>0</v>
      </c>
      <c r="BQ197" s="23">
        <f>EXP(-LN(2)/25)*BQ196+(1-EXP(-LN(2)/25))/(LN(2)/25)*Calculateur!BL197*Calculateur!BN197*VLOOKUP('Données projet'!$B$11,Paramètres!$A$1:$I$89,3,0)*0.475*44/12</f>
        <v>0</v>
      </c>
      <c r="BR197" s="23">
        <f>EXP(-LN(2)/2)*BR196+(1-EXP(-LN(2)/2))/(LN(2)/2)*BL197*BO197*VLOOKUP('Données projet'!$B$11,Paramètres!$A$1:$I$89,3,0)*0.475*44/12</f>
        <v>0</v>
      </c>
      <c r="BS197" s="24">
        <f t="shared" si="169"/>
        <v>0</v>
      </c>
      <c r="BT197" s="77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-1.1368683772161603E-13</v>
      </c>
      <c r="BZ197" s="14">
        <f>BY197*VLOOKUP('Données projet'!$B$12,Paramètres!$A$1:$I$89,3,0)*VLOOKUP('Données projet'!$B$12,Paramètres!$A$1:$I$89,5,0)</f>
        <v>-1.1527845344971866E-13</v>
      </c>
      <c r="CA197" s="14" t="e">
        <f t="shared" si="170"/>
        <v>#NUM!</v>
      </c>
      <c r="CB197" s="22" t="e">
        <f t="shared" si="171"/>
        <v>#NUM!</v>
      </c>
      <c r="CC197" s="60" t="e">
        <f t="shared" si="195"/>
        <v>#NUM!</v>
      </c>
      <c r="CD197" s="60">
        <f ca="1">AVERAGE(OFFSET($CC$3,0,0,'Données projet'!$E$12+1,1))-AVERAGE(OFFSET($H$3,0,0,'Données projet'!$E$12+1,1))</f>
        <v>587.74247372331615</v>
      </c>
      <c r="CE197" s="60">
        <f t="shared" ref="CE197:CE203" si="207">$CE$3</f>
        <v>306.61893266146666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>
        <f>EXP(-LN(2)/35)*CK196+(1-EXP(-LN(2)/35))/(LN(2)/35)*CG197*CH197*VLOOKUP('Données projet'!$B$12,Paramètres!$A$1:$I$89,3,0)*0.475*44/12</f>
        <v>0</v>
      </c>
      <c r="CL197" s="23">
        <f>EXP(-LN(2)/25)*CL196+(1-EXP(-LN(2)/25))/(LN(2)/25)*Calculateur!CG197*Calculateur!CI197*VLOOKUP('Données projet'!$B$12,Paramètres!$A$1:$I$89,3,0)*0.475*44/12</f>
        <v>0</v>
      </c>
      <c r="CM197" s="23">
        <f>EXP(-LN(2)/2)*CM196+(1-EXP(-LN(2)/2))/(LN(2)/2)*CG197*CJ197*VLOOKUP('Données projet'!$B$12,Paramètres!$A$1:$I$89,3,0)*0.475*44/12</f>
        <v>0</v>
      </c>
      <c r="CN197" s="24">
        <f t="shared" si="172"/>
        <v>0</v>
      </c>
      <c r="CO197" s="77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-1.1368683772161603E-13</v>
      </c>
      <c r="CU197" s="18">
        <f>CT197*VLOOKUP('Données projet'!$B$13,Paramètres!$A$1:$I$89,3,0)*VLOOKUP('Données projet'!$B$13,Paramètres!$A$1:$I$89,5,0)</f>
        <v>-1.223725121235475E-13</v>
      </c>
      <c r="CV197" s="14" t="e">
        <f t="shared" si="173"/>
        <v>#NUM!</v>
      </c>
      <c r="CW197" s="22" t="e">
        <f t="shared" si="174"/>
        <v>#NUM!</v>
      </c>
      <c r="CX197" s="60" t="e">
        <f t="shared" si="196"/>
        <v>#NUM!</v>
      </c>
      <c r="CY197" s="60">
        <f ca="1">AVERAGE(OFFSET($CX$3,0,0,'Données projet'!$E$13+1,1))-AVERAGE(OFFSET($H$3,0,0,'Données projet'!$E$13+1,1))</f>
        <v>621.10465023992288</v>
      </c>
      <c r="CZ197" s="60">
        <f t="shared" ref="CZ197:CZ203" si="208">$CZ$3</f>
        <v>322.81767004794284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>
        <f>EXP(-LN(2)/35)*DF196+(1-EXP(-LN(2)/35))/(LN(2)/35)*DB197*DC197*VLOOKUP('Données projet'!$B$13,Paramètres!$A$1:$I$89,3,0)*0.475*44/12</f>
        <v>0</v>
      </c>
      <c r="DG197" s="23">
        <f>EXP(-LN(2)/25)*DG196+(1-EXP(-LN(2)/25))/(LN(2)/25)*Calculateur!DB197*Calculateur!DD197*VLOOKUP('Données projet'!$B$13,Paramètres!$A$1:$I$89,3,0)*0.475*44/12</f>
        <v>0</v>
      </c>
      <c r="DH197" s="23">
        <f>EXP(-LN(2)/2)*DH196+(1-EXP(-LN(2)/2))/(LN(2)/2)*DB197*DE197*VLOOKUP('Données projet'!$B$13,Paramètres!$A$1:$I$89,3,0)*0.475*44/12</f>
        <v>0</v>
      </c>
      <c r="DI197" s="24">
        <f t="shared" si="175"/>
        <v>0</v>
      </c>
      <c r="DJ197" s="77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-1.1368683772161603E-13</v>
      </c>
      <c r="DP197" s="18">
        <f>DO197*VLOOKUP('Données projet'!$B$14,Paramètres!$A$1:$I$89,3,0)*VLOOKUP('Données projet'!$B$14,Paramètres!$A$1:$I$89,5,0)</f>
        <v>-1.0995790944434703E-13</v>
      </c>
      <c r="DQ197" s="14" t="e">
        <f t="shared" si="176"/>
        <v>#NUM!</v>
      </c>
      <c r="DR197" s="22" t="e">
        <f t="shared" si="177"/>
        <v>#NUM!</v>
      </c>
      <c r="DS197" s="60" t="e">
        <f t="shared" si="197"/>
        <v>#NUM!</v>
      </c>
      <c r="DT197" s="60">
        <f ca="1">AVERAGE(OFFSET($DS$3,0,0,'Données projet'!$E$14+1,1))-AVERAGE(OFFSET($H$3,0,0,'Données projet'!$E$14+1,1))</f>
        <v>562.69380557620775</v>
      </c>
      <c r="DU197" s="60">
        <f t="shared" ref="DU197:DU203" si="209">$DU$3</f>
        <v>294.45557293177131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>
        <f>EXP(-LN(2)/35)*EA196+(1-EXP(-LN(2)/35))/(LN(2)/35)*DW197*DX197*VLOOKUP('Données projet'!$B$14,Paramètres!$A$1:$I$89,3,0)*0.475*44/12</f>
        <v>0</v>
      </c>
      <c r="EB197" s="23">
        <f>EXP(-LN(2)/25)*EB196+(1-EXP(-LN(2)/25))/(LN(2)/25)*Calculateur!DW197*Calculateur!DY197*VLOOKUP('Données projet'!$B$14,Paramètres!$A$1:$I$89,3,0)*0.475*44/12</f>
        <v>0</v>
      </c>
      <c r="EC197" s="23">
        <f>EXP(-LN(2)/2)*EC196+(1-EXP(-LN(2)/2))/(LN(2)/2)*DW197*DZ197*VLOOKUP('Données projet'!$B$14,Paramètres!$A$1:$I$89,3,0)*0.475*44/12</f>
        <v>0</v>
      </c>
      <c r="ED197" s="24">
        <f t="shared" si="178"/>
        <v>0</v>
      </c>
      <c r="EE197" s="77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1.1368683772161603E-13</v>
      </c>
      <c r="EK197" s="18">
        <f>EJ197*VLOOKUP('Données projet'!$B$15,Paramètres!$A$1:$I$89,3,0)*VLOOKUP('Données projet'!$B$15,Paramètres!$A$1:$I$89,5,0)</f>
        <v>8.8675733422860506E-14</v>
      </c>
      <c r="EL197" s="14">
        <f t="shared" si="179"/>
        <v>1.3509285393066301E-12</v>
      </c>
      <c r="EM197" s="22">
        <f t="shared" si="180"/>
        <v>2.5073107750038623E-12</v>
      </c>
      <c r="EN197" s="60">
        <f t="shared" si="198"/>
        <v>293.33333333333582</v>
      </c>
      <c r="EO197" s="60">
        <f ca="1">AVERAGE(OFFSET($EN$3,0,0,'Données projet'!$E$15+1,1))-AVERAGE(OFFSET($H$3,0,0,'Données projet'!$E$15+1,1))</f>
        <v>292.57482726862594</v>
      </c>
      <c r="EP197" s="60">
        <f t="shared" ref="EP197:EP203" si="210">$EP$3</f>
        <v>283.48738729114024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>
        <f>EXP(-LN(2)/35)*EV196+(1-EXP(-LN(2)/35))/(LN(2)/35)*ER197*ES197*VLOOKUP('Données projet'!$B$15,Paramètres!$A$1:$I$89,3,0)*0.475*44/12</f>
        <v>0</v>
      </c>
      <c r="EW197" s="23">
        <f>EXP(-LN(2)/25)*EW196+(1-EXP(-LN(2)/25))/(LN(2)/25)*Calculateur!ER197*Calculateur!ET197*VLOOKUP('Données projet'!$B$15,Paramètres!$A$1:$I$89,3,0)*0.475*44/12</f>
        <v>0</v>
      </c>
      <c r="EX197" s="23">
        <f>EXP(-LN(2)/2)*EX196+(1-EXP(-LN(2)/2))/(LN(2)/2)*ER197*EU197*VLOOKUP('Données projet'!$B$15,Paramètres!$A$1:$I$89,3,0)*0.475*44/12</f>
        <v>0</v>
      </c>
      <c r="EY197" s="24">
        <f t="shared" si="181"/>
        <v>0</v>
      </c>
      <c r="EZ197" s="77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0" t="e">
        <f t="shared" si="199"/>
        <v>#N/A</v>
      </c>
      <c r="FJ197" s="60" t="e">
        <f ca="1">AVERAGE(OFFSET($FI$3,0,0,'Données projet'!$E$16+1,1))-AVERAGE(OFFSET($H$3,0,0,'Données projet'!$E$16+1,1))</f>
        <v>#N/A</v>
      </c>
      <c r="FK197" s="60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77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0" t="e">
        <f t="shared" si="200"/>
        <v>#N/A</v>
      </c>
      <c r="GE197" s="60" t="e">
        <f ca="1">AVERAGE(OFFSET($GD$3,0,0,'Données projet'!$E$17+1,1))-AVERAGE(OFFSET($H$3,0,0,'Données projet'!$E$17+1,1))</f>
        <v>#N/A</v>
      </c>
      <c r="GF197" s="60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77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0" t="e">
        <f t="shared" si="201"/>
        <v>#N/A</v>
      </c>
      <c r="GZ197" s="60" t="e">
        <f ca="1">AVERAGE(OFFSET($GY$3,0,0,'Données projet'!$E$18+1,1))-AVERAGE(OFFSET($H$3,0,0,'Données projet'!$E$18+1,1))</f>
        <v>#N/A</v>
      </c>
      <c r="HA197" s="60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25">
      <c r="A198" s="11">
        <f t="shared" si="161"/>
        <v>195</v>
      </c>
      <c r="B198" s="74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2">
        <f t="shared" si="202"/>
        <v>0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0</v>
      </c>
      <c r="H198" s="67">
        <f t="shared" si="192"/>
        <v>256.66666666666669</v>
      </c>
      <c r="I198" s="7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1.1368683772161603E-13</v>
      </c>
      <c r="O198" s="14">
        <f>N198*VLOOKUP('Données projet'!$B$9,Paramètres!$A$1:$I$89,3,0)*VLOOKUP('Données projet'!$B$9,Paramètres!$A$1:$I$89,5,0)</f>
        <v>1.0818439477588981E-13</v>
      </c>
      <c r="P198" s="14">
        <f t="shared" si="203"/>
        <v>1.6104228458716316E-12</v>
      </c>
      <c r="Q198" s="22">
        <f t="shared" si="162"/>
        <v>2.9932409441277661E-12</v>
      </c>
      <c r="R198" s="60">
        <f t="shared" si="191"/>
        <v>293.33333333333633</v>
      </c>
      <c r="S198" s="60">
        <f ca="1">AVERAGE(OFFSET($R$3,0,0,'Données projet'!$E$9+1,1))-AVERAGE(OFFSET($H$3,0,0,'Données projet'!$E$9+1,1))</f>
        <v>403.49781966317852</v>
      </c>
      <c r="T198" s="60">
        <f t="shared" si="204"/>
        <v>326.06674572505409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0</v>
      </c>
      <c r="AA198" s="23">
        <f>EXP(-LN(2)/25)*AA197+(1-EXP(-LN(2)/25))/(LN(2)/25)*Calculateur!V198*Calculateur!X198*VLOOKUP('Données projet'!$B$9,Paramètres!$A$1:$I$89,3,0)*0.475*44/12</f>
        <v>0</v>
      </c>
      <c r="AB198" s="23">
        <f>EXP(-LN(2)/2)*AB197+(1-EXP(-LN(2)/2))/(LN(2)/2)*V198*Y198*VLOOKUP('Données projet'!$B$9,Paramètres!$A$1:$I$89,3,0)*0.475*44/12</f>
        <v>0</v>
      </c>
      <c r="AC198" s="24">
        <f t="shared" si="163"/>
        <v>0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-1.1368683772161603E-13</v>
      </c>
      <c r="AJ198" s="14">
        <f>AI198*VLOOKUP('Données projet'!$B$10,Paramètres!$A$1:$I$89,3,0)*VLOOKUP('Données projet'!$B$10,Paramètres!$A$1:$I$89,5,0)</f>
        <v>-9.9316821433603781E-14</v>
      </c>
      <c r="AK198" s="14" t="e">
        <f t="shared" si="164"/>
        <v>#NUM!</v>
      </c>
      <c r="AL198" s="22" t="e">
        <f t="shared" si="165"/>
        <v>#NUM!</v>
      </c>
      <c r="AM198" s="60" t="e">
        <f t="shared" si="193"/>
        <v>#NUM!</v>
      </c>
      <c r="AN198" s="60">
        <f ca="1">AVERAGE(OFFSET($AM$3,0,0,'Données projet'!$E$10+1,1))-AVERAGE(OFFSET($H$3,0,0,'Données projet'!$E$10+1,1))</f>
        <v>274.66236526869056</v>
      </c>
      <c r="AO198" s="60">
        <f t="shared" si="205"/>
        <v>256.90876395053073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>
        <f>EXP(-LN(2)/35)*AU197+(1-EXP(-LN(2)/35))/(LN(2)/35)*AQ198*AR198*VLOOKUP('Données projet'!$B$10,Paramètres!$A$1:$I$89,3,0)*0.475*44/12</f>
        <v>0</v>
      </c>
      <c r="AV198" s="23">
        <f>EXP(-LN(2)/25)*AV197+(1-EXP(-LN(2)/25))/(LN(2)/25)*Calculateur!AQ198*Calculateur!AS198*VLOOKUP('Données projet'!$B$10,Paramètres!$A$1:$I$89,3,0)*0.475*44/12</f>
        <v>0</v>
      </c>
      <c r="AW198" s="23">
        <f>EXP(-LN(2)/2)*AW197+(1-EXP(-LN(2)/2))/(LN(2)/2)*AQ198*AT198*VLOOKUP('Données projet'!$B$10,Paramètres!$A$1:$I$89,3,0)*0.475*44/12</f>
        <v>0</v>
      </c>
      <c r="AX198" s="23">
        <f t="shared" si="166"/>
        <v>0</v>
      </c>
      <c r="AY198" s="76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-1.1368683772161603E-13</v>
      </c>
      <c r="BE198" s="14">
        <f>BD198*VLOOKUP('Données projet'!$B$11,Paramètres!$A$1:$I$89,3,0)*VLOOKUP('Données projet'!$B$11,Paramètres!$A$1:$I$89,5,0)</f>
        <v>-1.0286385077051818E-13</v>
      </c>
      <c r="BF198" s="14" t="e">
        <f t="shared" si="167"/>
        <v>#NUM!</v>
      </c>
      <c r="BG198" s="22" t="e">
        <f t="shared" si="168"/>
        <v>#NUM!</v>
      </c>
      <c r="BH198" s="60" t="e">
        <f t="shared" si="194"/>
        <v>#NUM!</v>
      </c>
      <c r="BI198" s="60">
        <f ca="1">AVERAGE(OFFSET($BH$3,0,0,'Données projet'!$E$11+1,1))-AVERAGE(OFFSET($H$3,0,0,'Données projet'!$E$11+1,1))</f>
        <v>529.25712986118265</v>
      </c>
      <c r="BJ198" s="60">
        <f t="shared" si="206"/>
        <v>278.21741231699929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>
        <f>EXP(-LN(2)/35)*BP197+(1-EXP(-LN(2)/35))/(LN(2)/35)*BL198*BM198*VLOOKUP('Données projet'!$B$11,Paramètres!$A$1:$I$89,3,0)*0.475*44/12</f>
        <v>0</v>
      </c>
      <c r="BQ198" s="23">
        <f>EXP(-LN(2)/25)*BQ197+(1-EXP(-LN(2)/25))/(LN(2)/25)*Calculateur!BL198*Calculateur!BN198*VLOOKUP('Données projet'!$B$11,Paramètres!$A$1:$I$89,3,0)*0.475*44/12</f>
        <v>0</v>
      </c>
      <c r="BR198" s="23">
        <f>EXP(-LN(2)/2)*BR197+(1-EXP(-LN(2)/2))/(LN(2)/2)*BL198*BO198*VLOOKUP('Données projet'!$B$11,Paramètres!$A$1:$I$89,3,0)*0.475*44/12</f>
        <v>0</v>
      </c>
      <c r="BS198" s="24">
        <f t="shared" si="169"/>
        <v>0</v>
      </c>
      <c r="BT198" s="77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-1.1368683772161603E-13</v>
      </c>
      <c r="BZ198" s="14">
        <f>BY198*VLOOKUP('Données projet'!$B$12,Paramètres!$A$1:$I$89,3,0)*VLOOKUP('Données projet'!$B$12,Paramètres!$A$1:$I$89,5,0)</f>
        <v>-1.1527845344971866E-13</v>
      </c>
      <c r="CA198" s="14" t="e">
        <f t="shared" si="170"/>
        <v>#NUM!</v>
      </c>
      <c r="CB198" s="22" t="e">
        <f t="shared" si="171"/>
        <v>#NUM!</v>
      </c>
      <c r="CC198" s="60" t="e">
        <f t="shared" si="195"/>
        <v>#NUM!</v>
      </c>
      <c r="CD198" s="60">
        <f ca="1">AVERAGE(OFFSET($CC$3,0,0,'Données projet'!$E$12+1,1))-AVERAGE(OFFSET($H$3,0,0,'Données projet'!$E$12+1,1))</f>
        <v>587.74247372331615</v>
      </c>
      <c r="CE198" s="60">
        <f t="shared" si="207"/>
        <v>306.61893266146666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>
        <f>EXP(-LN(2)/35)*CK197+(1-EXP(-LN(2)/35))/(LN(2)/35)*CG198*CH198*VLOOKUP('Données projet'!$B$12,Paramètres!$A$1:$I$89,3,0)*0.475*44/12</f>
        <v>0</v>
      </c>
      <c r="CL198" s="23">
        <f>EXP(-LN(2)/25)*CL197+(1-EXP(-LN(2)/25))/(LN(2)/25)*Calculateur!CG198*Calculateur!CI198*VLOOKUP('Données projet'!$B$12,Paramètres!$A$1:$I$89,3,0)*0.475*44/12</f>
        <v>0</v>
      </c>
      <c r="CM198" s="23">
        <f>EXP(-LN(2)/2)*CM197+(1-EXP(-LN(2)/2))/(LN(2)/2)*CG198*CJ198*VLOOKUP('Données projet'!$B$12,Paramètres!$A$1:$I$89,3,0)*0.475*44/12</f>
        <v>0</v>
      </c>
      <c r="CN198" s="24">
        <f t="shared" si="172"/>
        <v>0</v>
      </c>
      <c r="CO198" s="77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-1.1368683772161603E-13</v>
      </c>
      <c r="CU198" s="18">
        <f>CT198*VLOOKUP('Données projet'!$B$13,Paramètres!$A$1:$I$89,3,0)*VLOOKUP('Données projet'!$B$13,Paramètres!$A$1:$I$89,5,0)</f>
        <v>-1.223725121235475E-13</v>
      </c>
      <c r="CV198" s="14" t="e">
        <f t="shared" si="173"/>
        <v>#NUM!</v>
      </c>
      <c r="CW198" s="22" t="e">
        <f t="shared" si="174"/>
        <v>#NUM!</v>
      </c>
      <c r="CX198" s="60" t="e">
        <f t="shared" si="196"/>
        <v>#NUM!</v>
      </c>
      <c r="CY198" s="60">
        <f ca="1">AVERAGE(OFFSET($CX$3,0,0,'Données projet'!$E$13+1,1))-AVERAGE(OFFSET($H$3,0,0,'Données projet'!$E$13+1,1))</f>
        <v>621.10465023992288</v>
      </c>
      <c r="CZ198" s="60">
        <f t="shared" si="208"/>
        <v>322.81767004794284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>
        <f>EXP(-LN(2)/35)*DF197+(1-EXP(-LN(2)/35))/(LN(2)/35)*DB198*DC198*VLOOKUP('Données projet'!$B$13,Paramètres!$A$1:$I$89,3,0)*0.475*44/12</f>
        <v>0</v>
      </c>
      <c r="DG198" s="23">
        <f>EXP(-LN(2)/25)*DG197+(1-EXP(-LN(2)/25))/(LN(2)/25)*Calculateur!DB198*Calculateur!DD198*VLOOKUP('Données projet'!$B$13,Paramètres!$A$1:$I$89,3,0)*0.475*44/12</f>
        <v>0</v>
      </c>
      <c r="DH198" s="23">
        <f>EXP(-LN(2)/2)*DH197+(1-EXP(-LN(2)/2))/(LN(2)/2)*DB198*DE198*VLOOKUP('Données projet'!$B$13,Paramètres!$A$1:$I$89,3,0)*0.475*44/12</f>
        <v>0</v>
      </c>
      <c r="DI198" s="24">
        <f t="shared" si="175"/>
        <v>0</v>
      </c>
      <c r="DJ198" s="77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-1.1368683772161603E-13</v>
      </c>
      <c r="DP198" s="18">
        <f>DO198*VLOOKUP('Données projet'!$B$14,Paramètres!$A$1:$I$89,3,0)*VLOOKUP('Données projet'!$B$14,Paramètres!$A$1:$I$89,5,0)</f>
        <v>-1.0995790944434703E-13</v>
      </c>
      <c r="DQ198" s="14" t="e">
        <f t="shared" si="176"/>
        <v>#NUM!</v>
      </c>
      <c r="DR198" s="22" t="e">
        <f t="shared" si="177"/>
        <v>#NUM!</v>
      </c>
      <c r="DS198" s="60" t="e">
        <f t="shared" si="197"/>
        <v>#NUM!</v>
      </c>
      <c r="DT198" s="60">
        <f ca="1">AVERAGE(OFFSET($DS$3,0,0,'Données projet'!$E$14+1,1))-AVERAGE(OFFSET($H$3,0,0,'Données projet'!$E$14+1,1))</f>
        <v>562.69380557620775</v>
      </c>
      <c r="DU198" s="60">
        <f t="shared" si="209"/>
        <v>294.45557293177131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>
        <f>EXP(-LN(2)/35)*EA197+(1-EXP(-LN(2)/35))/(LN(2)/35)*DW198*DX198*VLOOKUP('Données projet'!$B$14,Paramètres!$A$1:$I$89,3,0)*0.475*44/12</f>
        <v>0</v>
      </c>
      <c r="EB198" s="23">
        <f>EXP(-LN(2)/25)*EB197+(1-EXP(-LN(2)/25))/(LN(2)/25)*Calculateur!DW198*Calculateur!DY198*VLOOKUP('Données projet'!$B$14,Paramètres!$A$1:$I$89,3,0)*0.475*44/12</f>
        <v>0</v>
      </c>
      <c r="EC198" s="23">
        <f>EXP(-LN(2)/2)*EC197+(1-EXP(-LN(2)/2))/(LN(2)/2)*DW198*DZ198*VLOOKUP('Données projet'!$B$14,Paramètres!$A$1:$I$89,3,0)*0.475*44/12</f>
        <v>0</v>
      </c>
      <c r="ED198" s="24">
        <f t="shared" si="178"/>
        <v>0</v>
      </c>
      <c r="EE198" s="77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1.1368683772161603E-13</v>
      </c>
      <c r="EK198" s="18">
        <f>EJ198*VLOOKUP('Données projet'!$B$15,Paramètres!$A$1:$I$89,3,0)*VLOOKUP('Données projet'!$B$15,Paramètres!$A$1:$I$89,5,0)</f>
        <v>8.8675733422860506E-14</v>
      </c>
      <c r="EL198" s="14">
        <f t="shared" si="179"/>
        <v>1.3509285393066301E-12</v>
      </c>
      <c r="EM198" s="22">
        <f t="shared" si="180"/>
        <v>2.5073107750038623E-12</v>
      </c>
      <c r="EN198" s="60">
        <f t="shared" si="198"/>
        <v>293.33333333333582</v>
      </c>
      <c r="EO198" s="60">
        <f ca="1">AVERAGE(OFFSET($EN$3,0,0,'Données projet'!$E$15+1,1))-AVERAGE(OFFSET($H$3,0,0,'Données projet'!$E$15+1,1))</f>
        <v>292.57482726862594</v>
      </c>
      <c r="EP198" s="60">
        <f t="shared" si="210"/>
        <v>283.48738729114024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>
        <f>EXP(-LN(2)/35)*EV197+(1-EXP(-LN(2)/35))/(LN(2)/35)*ER198*ES198*VLOOKUP('Données projet'!$B$15,Paramètres!$A$1:$I$89,3,0)*0.475*44/12</f>
        <v>0</v>
      </c>
      <c r="EW198" s="23">
        <f>EXP(-LN(2)/25)*EW197+(1-EXP(-LN(2)/25))/(LN(2)/25)*Calculateur!ER198*Calculateur!ET198*VLOOKUP('Données projet'!$B$15,Paramètres!$A$1:$I$89,3,0)*0.475*44/12</f>
        <v>0</v>
      </c>
      <c r="EX198" s="23">
        <f>EXP(-LN(2)/2)*EX197+(1-EXP(-LN(2)/2))/(LN(2)/2)*ER198*EU198*VLOOKUP('Données projet'!$B$15,Paramètres!$A$1:$I$89,3,0)*0.475*44/12</f>
        <v>0</v>
      </c>
      <c r="EY198" s="24">
        <f t="shared" si="181"/>
        <v>0</v>
      </c>
      <c r="EZ198" s="77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0" t="e">
        <f t="shared" si="199"/>
        <v>#N/A</v>
      </c>
      <c r="FJ198" s="60" t="e">
        <f ca="1">AVERAGE(OFFSET($FI$3,0,0,'Données projet'!$E$16+1,1))-AVERAGE(OFFSET($H$3,0,0,'Données projet'!$E$16+1,1))</f>
        <v>#N/A</v>
      </c>
      <c r="FK198" s="60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77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0" t="e">
        <f t="shared" si="200"/>
        <v>#N/A</v>
      </c>
      <c r="GE198" s="60" t="e">
        <f ca="1">AVERAGE(OFFSET($GD$3,0,0,'Données projet'!$E$17+1,1))-AVERAGE(OFFSET($H$3,0,0,'Données projet'!$E$17+1,1))</f>
        <v>#N/A</v>
      </c>
      <c r="GF198" s="60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77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0" t="e">
        <f t="shared" si="201"/>
        <v>#N/A</v>
      </c>
      <c r="GZ198" s="60" t="e">
        <f ca="1">AVERAGE(OFFSET($GY$3,0,0,'Données projet'!$E$18+1,1))-AVERAGE(OFFSET($H$3,0,0,'Données projet'!$E$18+1,1))</f>
        <v>#N/A</v>
      </c>
      <c r="HA198" s="60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25">
      <c r="A199" s="11">
        <f t="shared" si="161"/>
        <v>196</v>
      </c>
      <c r="B199" s="74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2">
        <f t="shared" si="202"/>
        <v>0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0</v>
      </c>
      <c r="H199" s="67">
        <f t="shared" si="192"/>
        <v>256.66666666666669</v>
      </c>
      <c r="I199" s="7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1.1368683772161603E-13</v>
      </c>
      <c r="O199" s="14">
        <f>N199*VLOOKUP('Données projet'!$B$9,Paramètres!$A$1:$I$89,3,0)*VLOOKUP('Données projet'!$B$9,Paramètres!$A$1:$I$89,5,0)</f>
        <v>1.0818439477588981E-13</v>
      </c>
      <c r="P199" s="14">
        <f t="shared" si="203"/>
        <v>1.6104228458716316E-12</v>
      </c>
      <c r="Q199" s="22">
        <f t="shared" si="162"/>
        <v>2.9932409441277661E-12</v>
      </c>
      <c r="R199" s="60">
        <f t="shared" si="191"/>
        <v>293.33333333333633</v>
      </c>
      <c r="S199" s="60">
        <f ca="1">AVERAGE(OFFSET($R$3,0,0,'Données projet'!$E$9+1,1))-AVERAGE(OFFSET($H$3,0,0,'Données projet'!$E$9+1,1))</f>
        <v>403.49781966317852</v>
      </c>
      <c r="T199" s="60">
        <f t="shared" si="204"/>
        <v>326.06674572505409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0</v>
      </c>
      <c r="AA199" s="23">
        <f>EXP(-LN(2)/25)*AA198+(1-EXP(-LN(2)/25))/(LN(2)/25)*Calculateur!V199*Calculateur!X199*VLOOKUP('Données projet'!$B$9,Paramètres!$A$1:$I$89,3,0)*0.475*44/12</f>
        <v>0</v>
      </c>
      <c r="AB199" s="23">
        <f>EXP(-LN(2)/2)*AB198+(1-EXP(-LN(2)/2))/(LN(2)/2)*V199*Y199*VLOOKUP('Données projet'!$B$9,Paramètres!$A$1:$I$89,3,0)*0.475*44/12</f>
        <v>0</v>
      </c>
      <c r="AC199" s="24">
        <f t="shared" si="163"/>
        <v>0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-1.1368683772161603E-13</v>
      </c>
      <c r="AJ199" s="14">
        <f>AI199*VLOOKUP('Données projet'!$B$10,Paramètres!$A$1:$I$89,3,0)*VLOOKUP('Données projet'!$B$10,Paramètres!$A$1:$I$89,5,0)</f>
        <v>-9.9316821433603781E-14</v>
      </c>
      <c r="AK199" s="14" t="e">
        <f t="shared" si="164"/>
        <v>#NUM!</v>
      </c>
      <c r="AL199" s="22" t="e">
        <f t="shared" si="165"/>
        <v>#NUM!</v>
      </c>
      <c r="AM199" s="60" t="e">
        <f t="shared" si="193"/>
        <v>#NUM!</v>
      </c>
      <c r="AN199" s="60">
        <f ca="1">AVERAGE(OFFSET($AM$3,0,0,'Données projet'!$E$10+1,1))-AVERAGE(OFFSET($H$3,0,0,'Données projet'!$E$10+1,1))</f>
        <v>274.66236526869056</v>
      </c>
      <c r="AO199" s="60">
        <f t="shared" si="205"/>
        <v>256.90876395053073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>
        <f>EXP(-LN(2)/35)*AU198+(1-EXP(-LN(2)/35))/(LN(2)/35)*AQ199*AR199*VLOOKUP('Données projet'!$B$10,Paramètres!$A$1:$I$89,3,0)*0.475*44/12</f>
        <v>0</v>
      </c>
      <c r="AV199" s="23">
        <f>EXP(-LN(2)/25)*AV198+(1-EXP(-LN(2)/25))/(LN(2)/25)*Calculateur!AQ199*Calculateur!AS199*VLOOKUP('Données projet'!$B$10,Paramètres!$A$1:$I$89,3,0)*0.475*44/12</f>
        <v>0</v>
      </c>
      <c r="AW199" s="23">
        <f>EXP(-LN(2)/2)*AW198+(1-EXP(-LN(2)/2))/(LN(2)/2)*AQ199*AT199*VLOOKUP('Données projet'!$B$10,Paramètres!$A$1:$I$89,3,0)*0.475*44/12</f>
        <v>0</v>
      </c>
      <c r="AX199" s="23">
        <f t="shared" si="166"/>
        <v>0</v>
      </c>
      <c r="AY199" s="76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-1.1368683772161603E-13</v>
      </c>
      <c r="BE199" s="14">
        <f>BD199*VLOOKUP('Données projet'!$B$11,Paramètres!$A$1:$I$89,3,0)*VLOOKUP('Données projet'!$B$11,Paramètres!$A$1:$I$89,5,0)</f>
        <v>-1.0286385077051818E-13</v>
      </c>
      <c r="BF199" s="14" t="e">
        <f t="shared" si="167"/>
        <v>#NUM!</v>
      </c>
      <c r="BG199" s="22" t="e">
        <f t="shared" si="168"/>
        <v>#NUM!</v>
      </c>
      <c r="BH199" s="60" t="e">
        <f t="shared" si="194"/>
        <v>#NUM!</v>
      </c>
      <c r="BI199" s="60">
        <f ca="1">AVERAGE(OFFSET($BH$3,0,0,'Données projet'!$E$11+1,1))-AVERAGE(OFFSET($H$3,0,0,'Données projet'!$E$11+1,1))</f>
        <v>529.25712986118265</v>
      </c>
      <c r="BJ199" s="60">
        <f t="shared" si="206"/>
        <v>278.21741231699929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>
        <f>EXP(-LN(2)/35)*BP198+(1-EXP(-LN(2)/35))/(LN(2)/35)*BL199*BM199*VLOOKUP('Données projet'!$B$11,Paramètres!$A$1:$I$89,3,0)*0.475*44/12</f>
        <v>0</v>
      </c>
      <c r="BQ199" s="23">
        <f>EXP(-LN(2)/25)*BQ198+(1-EXP(-LN(2)/25))/(LN(2)/25)*Calculateur!BL199*Calculateur!BN199*VLOOKUP('Données projet'!$B$11,Paramètres!$A$1:$I$89,3,0)*0.475*44/12</f>
        <v>0</v>
      </c>
      <c r="BR199" s="23">
        <f>EXP(-LN(2)/2)*BR198+(1-EXP(-LN(2)/2))/(LN(2)/2)*BL199*BO199*VLOOKUP('Données projet'!$B$11,Paramètres!$A$1:$I$89,3,0)*0.475*44/12</f>
        <v>0</v>
      </c>
      <c r="BS199" s="24">
        <f t="shared" si="169"/>
        <v>0</v>
      </c>
      <c r="BT199" s="77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-1.1368683772161603E-13</v>
      </c>
      <c r="BZ199" s="14">
        <f>BY199*VLOOKUP('Données projet'!$B$12,Paramètres!$A$1:$I$89,3,0)*VLOOKUP('Données projet'!$B$12,Paramètres!$A$1:$I$89,5,0)</f>
        <v>-1.1527845344971866E-13</v>
      </c>
      <c r="CA199" s="14" t="e">
        <f t="shared" si="170"/>
        <v>#NUM!</v>
      </c>
      <c r="CB199" s="22" t="e">
        <f t="shared" si="171"/>
        <v>#NUM!</v>
      </c>
      <c r="CC199" s="60" t="e">
        <f t="shared" si="195"/>
        <v>#NUM!</v>
      </c>
      <c r="CD199" s="60">
        <f ca="1">AVERAGE(OFFSET($CC$3,0,0,'Données projet'!$E$12+1,1))-AVERAGE(OFFSET($H$3,0,0,'Données projet'!$E$12+1,1))</f>
        <v>587.74247372331615</v>
      </c>
      <c r="CE199" s="60">
        <f t="shared" si="207"/>
        <v>306.61893266146666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>
        <f>EXP(-LN(2)/35)*CK198+(1-EXP(-LN(2)/35))/(LN(2)/35)*CG199*CH199*VLOOKUP('Données projet'!$B$12,Paramètres!$A$1:$I$89,3,0)*0.475*44/12</f>
        <v>0</v>
      </c>
      <c r="CL199" s="23">
        <f>EXP(-LN(2)/25)*CL198+(1-EXP(-LN(2)/25))/(LN(2)/25)*Calculateur!CG199*Calculateur!CI199*VLOOKUP('Données projet'!$B$12,Paramètres!$A$1:$I$89,3,0)*0.475*44/12</f>
        <v>0</v>
      </c>
      <c r="CM199" s="23">
        <f>EXP(-LN(2)/2)*CM198+(1-EXP(-LN(2)/2))/(LN(2)/2)*CG199*CJ199*VLOOKUP('Données projet'!$B$12,Paramètres!$A$1:$I$89,3,0)*0.475*44/12</f>
        <v>0</v>
      </c>
      <c r="CN199" s="24">
        <f t="shared" si="172"/>
        <v>0</v>
      </c>
      <c r="CO199" s="77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-1.1368683772161603E-13</v>
      </c>
      <c r="CU199" s="18">
        <f>CT199*VLOOKUP('Données projet'!$B$13,Paramètres!$A$1:$I$89,3,0)*VLOOKUP('Données projet'!$B$13,Paramètres!$A$1:$I$89,5,0)</f>
        <v>-1.223725121235475E-13</v>
      </c>
      <c r="CV199" s="14" t="e">
        <f t="shared" si="173"/>
        <v>#NUM!</v>
      </c>
      <c r="CW199" s="22" t="e">
        <f t="shared" si="174"/>
        <v>#NUM!</v>
      </c>
      <c r="CX199" s="60" t="e">
        <f t="shared" si="196"/>
        <v>#NUM!</v>
      </c>
      <c r="CY199" s="60">
        <f ca="1">AVERAGE(OFFSET($CX$3,0,0,'Données projet'!$E$13+1,1))-AVERAGE(OFFSET($H$3,0,0,'Données projet'!$E$13+1,1))</f>
        <v>621.10465023992288</v>
      </c>
      <c r="CZ199" s="60">
        <f t="shared" si="208"/>
        <v>322.81767004794284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>
        <f>EXP(-LN(2)/35)*DF198+(1-EXP(-LN(2)/35))/(LN(2)/35)*DB199*DC199*VLOOKUP('Données projet'!$B$13,Paramètres!$A$1:$I$89,3,0)*0.475*44/12</f>
        <v>0</v>
      </c>
      <c r="DG199" s="23">
        <f>EXP(-LN(2)/25)*DG198+(1-EXP(-LN(2)/25))/(LN(2)/25)*Calculateur!DB199*Calculateur!DD199*VLOOKUP('Données projet'!$B$13,Paramètres!$A$1:$I$89,3,0)*0.475*44/12</f>
        <v>0</v>
      </c>
      <c r="DH199" s="23">
        <f>EXP(-LN(2)/2)*DH198+(1-EXP(-LN(2)/2))/(LN(2)/2)*DB199*DE199*VLOOKUP('Données projet'!$B$13,Paramètres!$A$1:$I$89,3,0)*0.475*44/12</f>
        <v>0</v>
      </c>
      <c r="DI199" s="24">
        <f t="shared" si="175"/>
        <v>0</v>
      </c>
      <c r="DJ199" s="77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-1.1368683772161603E-13</v>
      </c>
      <c r="DP199" s="18">
        <f>DO199*VLOOKUP('Données projet'!$B$14,Paramètres!$A$1:$I$89,3,0)*VLOOKUP('Données projet'!$B$14,Paramètres!$A$1:$I$89,5,0)</f>
        <v>-1.0995790944434703E-13</v>
      </c>
      <c r="DQ199" s="14" t="e">
        <f t="shared" si="176"/>
        <v>#NUM!</v>
      </c>
      <c r="DR199" s="22" t="e">
        <f t="shared" si="177"/>
        <v>#NUM!</v>
      </c>
      <c r="DS199" s="60" t="e">
        <f t="shared" si="197"/>
        <v>#NUM!</v>
      </c>
      <c r="DT199" s="60">
        <f ca="1">AVERAGE(OFFSET($DS$3,0,0,'Données projet'!$E$14+1,1))-AVERAGE(OFFSET($H$3,0,0,'Données projet'!$E$14+1,1))</f>
        <v>562.69380557620775</v>
      </c>
      <c r="DU199" s="60">
        <f t="shared" si="209"/>
        <v>294.45557293177131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>
        <f>EXP(-LN(2)/35)*EA198+(1-EXP(-LN(2)/35))/(LN(2)/35)*DW199*DX199*VLOOKUP('Données projet'!$B$14,Paramètres!$A$1:$I$89,3,0)*0.475*44/12</f>
        <v>0</v>
      </c>
      <c r="EB199" s="23">
        <f>EXP(-LN(2)/25)*EB198+(1-EXP(-LN(2)/25))/(LN(2)/25)*Calculateur!DW199*Calculateur!DY199*VLOOKUP('Données projet'!$B$14,Paramètres!$A$1:$I$89,3,0)*0.475*44/12</f>
        <v>0</v>
      </c>
      <c r="EC199" s="23">
        <f>EXP(-LN(2)/2)*EC198+(1-EXP(-LN(2)/2))/(LN(2)/2)*DW199*DZ199*VLOOKUP('Données projet'!$B$14,Paramètres!$A$1:$I$89,3,0)*0.475*44/12</f>
        <v>0</v>
      </c>
      <c r="ED199" s="24">
        <f t="shared" si="178"/>
        <v>0</v>
      </c>
      <c r="EE199" s="77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1.1368683772161603E-13</v>
      </c>
      <c r="EK199" s="18">
        <f>EJ199*VLOOKUP('Données projet'!$B$15,Paramètres!$A$1:$I$89,3,0)*VLOOKUP('Données projet'!$B$15,Paramètres!$A$1:$I$89,5,0)</f>
        <v>8.8675733422860506E-14</v>
      </c>
      <c r="EL199" s="14">
        <f t="shared" si="179"/>
        <v>1.3509285393066301E-12</v>
      </c>
      <c r="EM199" s="22">
        <f t="shared" si="180"/>
        <v>2.5073107750038623E-12</v>
      </c>
      <c r="EN199" s="60">
        <f t="shared" si="198"/>
        <v>293.33333333333582</v>
      </c>
      <c r="EO199" s="60">
        <f ca="1">AVERAGE(OFFSET($EN$3,0,0,'Données projet'!$E$15+1,1))-AVERAGE(OFFSET($H$3,0,0,'Données projet'!$E$15+1,1))</f>
        <v>292.57482726862594</v>
      </c>
      <c r="EP199" s="60">
        <f t="shared" si="210"/>
        <v>283.48738729114024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>
        <f>EXP(-LN(2)/35)*EV198+(1-EXP(-LN(2)/35))/(LN(2)/35)*ER199*ES199*VLOOKUP('Données projet'!$B$15,Paramètres!$A$1:$I$89,3,0)*0.475*44/12</f>
        <v>0</v>
      </c>
      <c r="EW199" s="23">
        <f>EXP(-LN(2)/25)*EW198+(1-EXP(-LN(2)/25))/(LN(2)/25)*Calculateur!ER199*Calculateur!ET199*VLOOKUP('Données projet'!$B$15,Paramètres!$A$1:$I$89,3,0)*0.475*44/12</f>
        <v>0</v>
      </c>
      <c r="EX199" s="23">
        <f>EXP(-LN(2)/2)*EX198+(1-EXP(-LN(2)/2))/(LN(2)/2)*ER199*EU199*VLOOKUP('Données projet'!$B$15,Paramètres!$A$1:$I$89,3,0)*0.475*44/12</f>
        <v>0</v>
      </c>
      <c r="EY199" s="24">
        <f t="shared" si="181"/>
        <v>0</v>
      </c>
      <c r="EZ199" s="77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0" t="e">
        <f t="shared" si="199"/>
        <v>#N/A</v>
      </c>
      <c r="FJ199" s="60" t="e">
        <f ca="1">AVERAGE(OFFSET($FI$3,0,0,'Données projet'!$E$16+1,1))-AVERAGE(OFFSET($H$3,0,0,'Données projet'!$E$16+1,1))</f>
        <v>#N/A</v>
      </c>
      <c r="FK199" s="60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77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0" t="e">
        <f t="shared" si="200"/>
        <v>#N/A</v>
      </c>
      <c r="GE199" s="60" t="e">
        <f ca="1">AVERAGE(OFFSET($GD$3,0,0,'Données projet'!$E$17+1,1))-AVERAGE(OFFSET($H$3,0,0,'Données projet'!$E$17+1,1))</f>
        <v>#N/A</v>
      </c>
      <c r="GF199" s="60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77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0" t="e">
        <f t="shared" si="201"/>
        <v>#N/A</v>
      </c>
      <c r="GZ199" s="60" t="e">
        <f ca="1">AVERAGE(OFFSET($GY$3,0,0,'Données projet'!$E$18+1,1))-AVERAGE(OFFSET($H$3,0,0,'Données projet'!$E$18+1,1))</f>
        <v>#N/A</v>
      </c>
      <c r="HA199" s="60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25">
      <c r="A200" s="11">
        <f t="shared" si="161"/>
        <v>197</v>
      </c>
      <c r="B200" s="74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2">
        <f t="shared" si="202"/>
        <v>0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0</v>
      </c>
      <c r="H200" s="67">
        <f t="shared" si="192"/>
        <v>256.66666666666669</v>
      </c>
      <c r="I200" s="7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1.1368683772161603E-13</v>
      </c>
      <c r="O200" s="14">
        <f>N200*VLOOKUP('Données projet'!$B$9,Paramètres!$A$1:$I$89,3,0)*VLOOKUP('Données projet'!$B$9,Paramètres!$A$1:$I$89,5,0)</f>
        <v>1.0818439477588981E-13</v>
      </c>
      <c r="P200" s="14">
        <f t="shared" si="203"/>
        <v>1.6104228458716316E-12</v>
      </c>
      <c r="Q200" s="22">
        <f t="shared" si="162"/>
        <v>2.9932409441277661E-12</v>
      </c>
      <c r="R200" s="60">
        <f t="shared" si="191"/>
        <v>293.33333333333633</v>
      </c>
      <c r="S200" s="60">
        <f ca="1">AVERAGE(OFFSET($R$3,0,0,'Données projet'!$E$9+1,1))-AVERAGE(OFFSET($H$3,0,0,'Données projet'!$E$9+1,1))</f>
        <v>403.49781966317852</v>
      </c>
      <c r="T200" s="60">
        <f t="shared" si="204"/>
        <v>326.06674572505409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0</v>
      </c>
      <c r="AA200" s="23">
        <f>EXP(-LN(2)/25)*AA199+(1-EXP(-LN(2)/25))/(LN(2)/25)*Calculateur!V200*Calculateur!X200*VLOOKUP('Données projet'!$B$9,Paramètres!$A$1:$I$89,3,0)*0.475*44/12</f>
        <v>0</v>
      </c>
      <c r="AB200" s="23">
        <f>EXP(-LN(2)/2)*AB199+(1-EXP(-LN(2)/2))/(LN(2)/2)*V200*Y200*VLOOKUP('Données projet'!$B$9,Paramètres!$A$1:$I$89,3,0)*0.475*44/12</f>
        <v>0</v>
      </c>
      <c r="AC200" s="24">
        <f t="shared" si="163"/>
        <v>0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-1.1368683772161603E-13</v>
      </c>
      <c r="AJ200" s="14">
        <f>AI200*VLOOKUP('Données projet'!$B$10,Paramètres!$A$1:$I$89,3,0)*VLOOKUP('Données projet'!$B$10,Paramètres!$A$1:$I$89,5,0)</f>
        <v>-9.9316821433603781E-14</v>
      </c>
      <c r="AK200" s="14" t="e">
        <f t="shared" si="164"/>
        <v>#NUM!</v>
      </c>
      <c r="AL200" s="22" t="e">
        <f t="shared" si="165"/>
        <v>#NUM!</v>
      </c>
      <c r="AM200" s="60" t="e">
        <f t="shared" si="193"/>
        <v>#NUM!</v>
      </c>
      <c r="AN200" s="60">
        <f ca="1">AVERAGE(OFFSET($AM$3,0,0,'Données projet'!$E$10+1,1))-AVERAGE(OFFSET($H$3,0,0,'Données projet'!$E$10+1,1))</f>
        <v>274.66236526869056</v>
      </c>
      <c r="AO200" s="60">
        <f t="shared" si="205"/>
        <v>256.90876395053073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>
        <f>EXP(-LN(2)/35)*AU199+(1-EXP(-LN(2)/35))/(LN(2)/35)*AQ200*AR200*VLOOKUP('Données projet'!$B$10,Paramètres!$A$1:$I$89,3,0)*0.475*44/12</f>
        <v>0</v>
      </c>
      <c r="AV200" s="23">
        <f>EXP(-LN(2)/25)*AV199+(1-EXP(-LN(2)/25))/(LN(2)/25)*Calculateur!AQ200*Calculateur!AS200*VLOOKUP('Données projet'!$B$10,Paramètres!$A$1:$I$89,3,0)*0.475*44/12</f>
        <v>0</v>
      </c>
      <c r="AW200" s="23">
        <f>EXP(-LN(2)/2)*AW199+(1-EXP(-LN(2)/2))/(LN(2)/2)*AQ200*AT200*VLOOKUP('Données projet'!$B$10,Paramètres!$A$1:$I$89,3,0)*0.475*44/12</f>
        <v>0</v>
      </c>
      <c r="AX200" s="23">
        <f t="shared" si="166"/>
        <v>0</v>
      </c>
      <c r="AY200" s="76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-1.1368683772161603E-13</v>
      </c>
      <c r="BE200" s="14">
        <f>BD200*VLOOKUP('Données projet'!$B$11,Paramètres!$A$1:$I$89,3,0)*VLOOKUP('Données projet'!$B$11,Paramètres!$A$1:$I$89,5,0)</f>
        <v>-1.0286385077051818E-13</v>
      </c>
      <c r="BF200" s="14" t="e">
        <f t="shared" si="167"/>
        <v>#NUM!</v>
      </c>
      <c r="BG200" s="22" t="e">
        <f t="shared" si="168"/>
        <v>#NUM!</v>
      </c>
      <c r="BH200" s="60" t="e">
        <f t="shared" si="194"/>
        <v>#NUM!</v>
      </c>
      <c r="BI200" s="60">
        <f ca="1">AVERAGE(OFFSET($BH$3,0,0,'Données projet'!$E$11+1,1))-AVERAGE(OFFSET($H$3,0,0,'Données projet'!$E$11+1,1))</f>
        <v>529.25712986118265</v>
      </c>
      <c r="BJ200" s="60">
        <f t="shared" si="206"/>
        <v>278.21741231699929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>
        <f>EXP(-LN(2)/35)*BP199+(1-EXP(-LN(2)/35))/(LN(2)/35)*BL200*BM200*VLOOKUP('Données projet'!$B$11,Paramètres!$A$1:$I$89,3,0)*0.475*44/12</f>
        <v>0</v>
      </c>
      <c r="BQ200" s="23">
        <f>EXP(-LN(2)/25)*BQ199+(1-EXP(-LN(2)/25))/(LN(2)/25)*Calculateur!BL200*Calculateur!BN200*VLOOKUP('Données projet'!$B$11,Paramètres!$A$1:$I$89,3,0)*0.475*44/12</f>
        <v>0</v>
      </c>
      <c r="BR200" s="23">
        <f>EXP(-LN(2)/2)*BR199+(1-EXP(-LN(2)/2))/(LN(2)/2)*BL200*BO200*VLOOKUP('Données projet'!$B$11,Paramètres!$A$1:$I$89,3,0)*0.475*44/12</f>
        <v>0</v>
      </c>
      <c r="BS200" s="24">
        <f t="shared" si="169"/>
        <v>0</v>
      </c>
      <c r="BT200" s="77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-1.1368683772161603E-13</v>
      </c>
      <c r="BZ200" s="14">
        <f>BY200*VLOOKUP('Données projet'!$B$12,Paramètres!$A$1:$I$89,3,0)*VLOOKUP('Données projet'!$B$12,Paramètres!$A$1:$I$89,5,0)</f>
        <v>-1.1527845344971866E-13</v>
      </c>
      <c r="CA200" s="14" t="e">
        <f t="shared" si="170"/>
        <v>#NUM!</v>
      </c>
      <c r="CB200" s="22" t="e">
        <f t="shared" si="171"/>
        <v>#NUM!</v>
      </c>
      <c r="CC200" s="60" t="e">
        <f t="shared" si="195"/>
        <v>#NUM!</v>
      </c>
      <c r="CD200" s="60">
        <f ca="1">AVERAGE(OFFSET($CC$3,0,0,'Données projet'!$E$12+1,1))-AVERAGE(OFFSET($H$3,0,0,'Données projet'!$E$12+1,1))</f>
        <v>587.74247372331615</v>
      </c>
      <c r="CE200" s="60">
        <f t="shared" si="207"/>
        <v>306.61893266146666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>
        <f>EXP(-LN(2)/35)*CK199+(1-EXP(-LN(2)/35))/(LN(2)/35)*CG200*CH200*VLOOKUP('Données projet'!$B$12,Paramètres!$A$1:$I$89,3,0)*0.475*44/12</f>
        <v>0</v>
      </c>
      <c r="CL200" s="23">
        <f>EXP(-LN(2)/25)*CL199+(1-EXP(-LN(2)/25))/(LN(2)/25)*Calculateur!CG200*Calculateur!CI200*VLOOKUP('Données projet'!$B$12,Paramètres!$A$1:$I$89,3,0)*0.475*44/12</f>
        <v>0</v>
      </c>
      <c r="CM200" s="23">
        <f>EXP(-LN(2)/2)*CM199+(1-EXP(-LN(2)/2))/(LN(2)/2)*CG200*CJ200*VLOOKUP('Données projet'!$B$12,Paramètres!$A$1:$I$89,3,0)*0.475*44/12</f>
        <v>0</v>
      </c>
      <c r="CN200" s="24">
        <f t="shared" si="172"/>
        <v>0</v>
      </c>
      <c r="CO200" s="77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-1.1368683772161603E-13</v>
      </c>
      <c r="CU200" s="18">
        <f>CT200*VLOOKUP('Données projet'!$B$13,Paramètres!$A$1:$I$89,3,0)*VLOOKUP('Données projet'!$B$13,Paramètres!$A$1:$I$89,5,0)</f>
        <v>-1.223725121235475E-13</v>
      </c>
      <c r="CV200" s="14" t="e">
        <f t="shared" si="173"/>
        <v>#NUM!</v>
      </c>
      <c r="CW200" s="22" t="e">
        <f t="shared" si="174"/>
        <v>#NUM!</v>
      </c>
      <c r="CX200" s="60" t="e">
        <f t="shared" si="196"/>
        <v>#NUM!</v>
      </c>
      <c r="CY200" s="60">
        <f ca="1">AVERAGE(OFFSET($CX$3,0,0,'Données projet'!$E$13+1,1))-AVERAGE(OFFSET($H$3,0,0,'Données projet'!$E$13+1,1))</f>
        <v>621.10465023992288</v>
      </c>
      <c r="CZ200" s="60">
        <f t="shared" si="208"/>
        <v>322.81767004794284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>
        <f>EXP(-LN(2)/35)*DF199+(1-EXP(-LN(2)/35))/(LN(2)/35)*DB200*DC200*VLOOKUP('Données projet'!$B$13,Paramètres!$A$1:$I$89,3,0)*0.475*44/12</f>
        <v>0</v>
      </c>
      <c r="DG200" s="23">
        <f>EXP(-LN(2)/25)*DG199+(1-EXP(-LN(2)/25))/(LN(2)/25)*Calculateur!DB200*Calculateur!DD200*VLOOKUP('Données projet'!$B$13,Paramètres!$A$1:$I$89,3,0)*0.475*44/12</f>
        <v>0</v>
      </c>
      <c r="DH200" s="23">
        <f>EXP(-LN(2)/2)*DH199+(1-EXP(-LN(2)/2))/(LN(2)/2)*DB200*DE200*VLOOKUP('Données projet'!$B$13,Paramètres!$A$1:$I$89,3,0)*0.475*44/12</f>
        <v>0</v>
      </c>
      <c r="DI200" s="24">
        <f t="shared" si="175"/>
        <v>0</v>
      </c>
      <c r="DJ200" s="77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-1.1368683772161603E-13</v>
      </c>
      <c r="DP200" s="18">
        <f>DO200*VLOOKUP('Données projet'!$B$14,Paramètres!$A$1:$I$89,3,0)*VLOOKUP('Données projet'!$B$14,Paramètres!$A$1:$I$89,5,0)</f>
        <v>-1.0995790944434703E-13</v>
      </c>
      <c r="DQ200" s="14" t="e">
        <f t="shared" si="176"/>
        <v>#NUM!</v>
      </c>
      <c r="DR200" s="22" t="e">
        <f t="shared" si="177"/>
        <v>#NUM!</v>
      </c>
      <c r="DS200" s="60" t="e">
        <f t="shared" si="197"/>
        <v>#NUM!</v>
      </c>
      <c r="DT200" s="60">
        <f ca="1">AVERAGE(OFFSET($DS$3,0,0,'Données projet'!$E$14+1,1))-AVERAGE(OFFSET($H$3,0,0,'Données projet'!$E$14+1,1))</f>
        <v>562.69380557620775</v>
      </c>
      <c r="DU200" s="60">
        <f t="shared" si="209"/>
        <v>294.45557293177131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>
        <f>EXP(-LN(2)/35)*EA199+(1-EXP(-LN(2)/35))/(LN(2)/35)*DW200*DX200*VLOOKUP('Données projet'!$B$14,Paramètres!$A$1:$I$89,3,0)*0.475*44/12</f>
        <v>0</v>
      </c>
      <c r="EB200" s="23">
        <f>EXP(-LN(2)/25)*EB199+(1-EXP(-LN(2)/25))/(LN(2)/25)*Calculateur!DW200*Calculateur!DY200*VLOOKUP('Données projet'!$B$14,Paramètres!$A$1:$I$89,3,0)*0.475*44/12</f>
        <v>0</v>
      </c>
      <c r="EC200" s="23">
        <f>EXP(-LN(2)/2)*EC199+(1-EXP(-LN(2)/2))/(LN(2)/2)*DW200*DZ200*VLOOKUP('Données projet'!$B$14,Paramètres!$A$1:$I$89,3,0)*0.475*44/12</f>
        <v>0</v>
      </c>
      <c r="ED200" s="24">
        <f t="shared" si="178"/>
        <v>0</v>
      </c>
      <c r="EE200" s="77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1.1368683772161603E-13</v>
      </c>
      <c r="EK200" s="18">
        <f>EJ200*VLOOKUP('Données projet'!$B$15,Paramètres!$A$1:$I$89,3,0)*VLOOKUP('Données projet'!$B$15,Paramètres!$A$1:$I$89,5,0)</f>
        <v>8.8675733422860506E-14</v>
      </c>
      <c r="EL200" s="14">
        <f t="shared" si="179"/>
        <v>1.3509285393066301E-12</v>
      </c>
      <c r="EM200" s="22">
        <f t="shared" si="180"/>
        <v>2.5073107750038623E-12</v>
      </c>
      <c r="EN200" s="60">
        <f t="shared" si="198"/>
        <v>293.33333333333582</v>
      </c>
      <c r="EO200" s="60">
        <f ca="1">AVERAGE(OFFSET($EN$3,0,0,'Données projet'!$E$15+1,1))-AVERAGE(OFFSET($H$3,0,0,'Données projet'!$E$15+1,1))</f>
        <v>292.57482726862594</v>
      </c>
      <c r="EP200" s="60">
        <f t="shared" si="210"/>
        <v>283.48738729114024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>
        <f>EXP(-LN(2)/35)*EV199+(1-EXP(-LN(2)/35))/(LN(2)/35)*ER200*ES200*VLOOKUP('Données projet'!$B$15,Paramètres!$A$1:$I$89,3,0)*0.475*44/12</f>
        <v>0</v>
      </c>
      <c r="EW200" s="23">
        <f>EXP(-LN(2)/25)*EW199+(1-EXP(-LN(2)/25))/(LN(2)/25)*Calculateur!ER200*Calculateur!ET200*VLOOKUP('Données projet'!$B$15,Paramètres!$A$1:$I$89,3,0)*0.475*44/12</f>
        <v>0</v>
      </c>
      <c r="EX200" s="23">
        <f>EXP(-LN(2)/2)*EX199+(1-EXP(-LN(2)/2))/(LN(2)/2)*ER200*EU200*VLOOKUP('Données projet'!$B$15,Paramètres!$A$1:$I$89,3,0)*0.475*44/12</f>
        <v>0</v>
      </c>
      <c r="EY200" s="24">
        <f t="shared" si="181"/>
        <v>0</v>
      </c>
      <c r="EZ200" s="77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0" t="e">
        <f t="shared" si="199"/>
        <v>#N/A</v>
      </c>
      <c r="FJ200" s="60" t="e">
        <f ca="1">AVERAGE(OFFSET($FI$3,0,0,'Données projet'!$E$16+1,1))-AVERAGE(OFFSET($H$3,0,0,'Données projet'!$E$16+1,1))</f>
        <v>#N/A</v>
      </c>
      <c r="FK200" s="60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77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0" t="e">
        <f t="shared" si="200"/>
        <v>#N/A</v>
      </c>
      <c r="GE200" s="60" t="e">
        <f ca="1">AVERAGE(OFFSET($GD$3,0,0,'Données projet'!$E$17+1,1))-AVERAGE(OFFSET($H$3,0,0,'Données projet'!$E$17+1,1))</f>
        <v>#N/A</v>
      </c>
      <c r="GF200" s="60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77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0" t="e">
        <f t="shared" si="201"/>
        <v>#N/A</v>
      </c>
      <c r="GZ200" s="60" t="e">
        <f ca="1">AVERAGE(OFFSET($GY$3,0,0,'Données projet'!$E$18+1,1))-AVERAGE(OFFSET($H$3,0,0,'Données projet'!$E$18+1,1))</f>
        <v>#N/A</v>
      </c>
      <c r="HA200" s="60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25">
      <c r="A201" s="11">
        <f>A200+1</f>
        <v>198</v>
      </c>
      <c r="B201" s="74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2">
        <f t="shared" si="202"/>
        <v>0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0</v>
      </c>
      <c r="H201" s="67">
        <f t="shared" si="192"/>
        <v>256.66666666666669</v>
      </c>
      <c r="I201" s="7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1.1368683772161603E-13</v>
      </c>
      <c r="O201" s="14">
        <f>N201*VLOOKUP('Données projet'!$B$9,Paramètres!$A$1:$I$89,3,0)*VLOOKUP('Données projet'!$B$9,Paramètres!$A$1:$I$89,5,0)</f>
        <v>1.0818439477588981E-13</v>
      </c>
      <c r="P201" s="14">
        <f t="shared" si="203"/>
        <v>1.6104228458716316E-12</v>
      </c>
      <c r="Q201" s="22">
        <f t="shared" si="162"/>
        <v>2.9932409441277661E-12</v>
      </c>
      <c r="R201" s="60">
        <f t="shared" si="191"/>
        <v>293.33333333333633</v>
      </c>
      <c r="S201" s="60">
        <f ca="1">AVERAGE(OFFSET($R$3,0,0,'Données projet'!$E$9+1,1))-AVERAGE(OFFSET($H$3,0,0,'Données projet'!$E$9+1,1))</f>
        <v>403.49781966317852</v>
      </c>
      <c r="T201" s="60">
        <f t="shared" si="204"/>
        <v>326.06674572505409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0</v>
      </c>
      <c r="AA201" s="23">
        <f>EXP(-LN(2)/25)*AA200+(1-EXP(-LN(2)/25))/(LN(2)/25)*Calculateur!V201*Calculateur!X201*VLOOKUP('Données projet'!$B$9,Paramètres!$A$1:$I$89,3,0)*0.475*44/12</f>
        <v>0</v>
      </c>
      <c r="AB201" s="23">
        <f>EXP(-LN(2)/2)*AB200+(1-EXP(-LN(2)/2))/(LN(2)/2)*V201*Y201*VLOOKUP('Données projet'!$B$9,Paramètres!$A$1:$I$89,3,0)*0.475*44/12</f>
        <v>0</v>
      </c>
      <c r="AC201" s="24">
        <f t="shared" si="163"/>
        <v>0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-1.1368683772161603E-13</v>
      </c>
      <c r="AJ201" s="14">
        <f>AI201*VLOOKUP('Données projet'!$B$10,Paramètres!$A$1:$I$89,3,0)*VLOOKUP('Données projet'!$B$10,Paramètres!$A$1:$I$89,5,0)</f>
        <v>-9.9316821433603781E-14</v>
      </c>
      <c r="AK201" s="14" t="e">
        <f t="shared" si="164"/>
        <v>#NUM!</v>
      </c>
      <c r="AL201" s="22" t="e">
        <f t="shared" si="165"/>
        <v>#NUM!</v>
      </c>
      <c r="AM201" s="60" t="e">
        <f t="shared" si="193"/>
        <v>#NUM!</v>
      </c>
      <c r="AN201" s="60">
        <f ca="1">AVERAGE(OFFSET($AM$3,0,0,'Données projet'!$E$10+1,1))-AVERAGE(OFFSET($H$3,0,0,'Données projet'!$E$10+1,1))</f>
        <v>274.66236526869056</v>
      </c>
      <c r="AO201" s="60">
        <f t="shared" si="205"/>
        <v>256.90876395053073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>
        <f>EXP(-LN(2)/35)*AU200+(1-EXP(-LN(2)/35))/(LN(2)/35)*AQ201*AR201*VLOOKUP('Données projet'!$B$10,Paramètres!$A$1:$I$89,3,0)*0.475*44/12</f>
        <v>0</v>
      </c>
      <c r="AV201" s="23">
        <f>EXP(-LN(2)/25)*AV200+(1-EXP(-LN(2)/25))/(LN(2)/25)*Calculateur!AQ201*Calculateur!AS201*VLOOKUP('Données projet'!$B$10,Paramètres!$A$1:$I$89,3,0)*0.475*44/12</f>
        <v>0</v>
      </c>
      <c r="AW201" s="23">
        <f>EXP(-LN(2)/2)*AW200+(1-EXP(-LN(2)/2))/(LN(2)/2)*AQ201*AT201*VLOOKUP('Données projet'!$B$10,Paramètres!$A$1:$I$89,3,0)*0.475*44/12</f>
        <v>0</v>
      </c>
      <c r="AX201" s="23">
        <f t="shared" si="166"/>
        <v>0</v>
      </c>
      <c r="AY201" s="76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-1.1368683772161603E-13</v>
      </c>
      <c r="BE201" s="14">
        <f>BD201*VLOOKUP('Données projet'!$B$11,Paramètres!$A$1:$I$89,3,0)*VLOOKUP('Données projet'!$B$11,Paramètres!$A$1:$I$89,5,0)</f>
        <v>-1.0286385077051818E-13</v>
      </c>
      <c r="BF201" s="14" t="e">
        <f t="shared" si="167"/>
        <v>#NUM!</v>
      </c>
      <c r="BG201" s="22" t="e">
        <f t="shared" si="168"/>
        <v>#NUM!</v>
      </c>
      <c r="BH201" s="60" t="e">
        <f t="shared" si="194"/>
        <v>#NUM!</v>
      </c>
      <c r="BI201" s="60">
        <f ca="1">AVERAGE(OFFSET($BH$3,0,0,'Données projet'!$E$11+1,1))-AVERAGE(OFFSET($H$3,0,0,'Données projet'!$E$11+1,1))</f>
        <v>529.25712986118265</v>
      </c>
      <c r="BJ201" s="60">
        <f t="shared" si="206"/>
        <v>278.21741231699929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>
        <f>EXP(-LN(2)/35)*BP200+(1-EXP(-LN(2)/35))/(LN(2)/35)*BL201*BM201*VLOOKUP('Données projet'!$B$11,Paramètres!$A$1:$I$89,3,0)*0.475*44/12</f>
        <v>0</v>
      </c>
      <c r="BQ201" s="23">
        <f>EXP(-LN(2)/25)*BQ200+(1-EXP(-LN(2)/25))/(LN(2)/25)*Calculateur!BL201*Calculateur!BN201*VLOOKUP('Données projet'!$B$11,Paramètres!$A$1:$I$89,3,0)*0.475*44/12</f>
        <v>0</v>
      </c>
      <c r="BR201" s="23">
        <f>EXP(-LN(2)/2)*BR200+(1-EXP(-LN(2)/2))/(LN(2)/2)*BL201*BO201*VLOOKUP('Données projet'!$B$11,Paramètres!$A$1:$I$89,3,0)*0.475*44/12</f>
        <v>0</v>
      </c>
      <c r="BS201" s="24">
        <f t="shared" si="169"/>
        <v>0</v>
      </c>
      <c r="BT201" s="77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-1.1368683772161603E-13</v>
      </c>
      <c r="BZ201" s="14">
        <f>BY201*VLOOKUP('Données projet'!$B$12,Paramètres!$A$1:$I$89,3,0)*VLOOKUP('Données projet'!$B$12,Paramètres!$A$1:$I$89,5,0)</f>
        <v>-1.1527845344971866E-13</v>
      </c>
      <c r="CA201" s="14" t="e">
        <f t="shared" si="170"/>
        <v>#NUM!</v>
      </c>
      <c r="CB201" s="22" t="e">
        <f t="shared" si="171"/>
        <v>#NUM!</v>
      </c>
      <c r="CC201" s="60" t="e">
        <f t="shared" si="195"/>
        <v>#NUM!</v>
      </c>
      <c r="CD201" s="60">
        <f ca="1">AVERAGE(OFFSET($CC$3,0,0,'Données projet'!$E$12+1,1))-AVERAGE(OFFSET($H$3,0,0,'Données projet'!$E$12+1,1))</f>
        <v>587.74247372331615</v>
      </c>
      <c r="CE201" s="60">
        <f t="shared" si="207"/>
        <v>306.61893266146666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>
        <f>EXP(-LN(2)/35)*CK200+(1-EXP(-LN(2)/35))/(LN(2)/35)*CG201*CH201*VLOOKUP('Données projet'!$B$12,Paramètres!$A$1:$I$89,3,0)*0.475*44/12</f>
        <v>0</v>
      </c>
      <c r="CL201" s="23">
        <f>EXP(-LN(2)/25)*CL200+(1-EXP(-LN(2)/25))/(LN(2)/25)*Calculateur!CG201*Calculateur!CI201*VLOOKUP('Données projet'!$B$12,Paramètres!$A$1:$I$89,3,0)*0.475*44/12</f>
        <v>0</v>
      </c>
      <c r="CM201" s="23">
        <f>EXP(-LN(2)/2)*CM200+(1-EXP(-LN(2)/2))/(LN(2)/2)*CG201*CJ201*VLOOKUP('Données projet'!$B$12,Paramètres!$A$1:$I$89,3,0)*0.475*44/12</f>
        <v>0</v>
      </c>
      <c r="CN201" s="24">
        <f t="shared" si="172"/>
        <v>0</v>
      </c>
      <c r="CO201" s="77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-1.1368683772161603E-13</v>
      </c>
      <c r="CU201" s="18">
        <f>CT201*VLOOKUP('Données projet'!$B$13,Paramètres!$A$1:$I$89,3,0)*VLOOKUP('Données projet'!$B$13,Paramètres!$A$1:$I$89,5,0)</f>
        <v>-1.223725121235475E-13</v>
      </c>
      <c r="CV201" s="14" t="e">
        <f t="shared" si="173"/>
        <v>#NUM!</v>
      </c>
      <c r="CW201" s="22" t="e">
        <f t="shared" si="174"/>
        <v>#NUM!</v>
      </c>
      <c r="CX201" s="60" t="e">
        <f t="shared" si="196"/>
        <v>#NUM!</v>
      </c>
      <c r="CY201" s="60">
        <f ca="1">AVERAGE(OFFSET($CX$3,0,0,'Données projet'!$E$13+1,1))-AVERAGE(OFFSET($H$3,0,0,'Données projet'!$E$13+1,1))</f>
        <v>621.10465023992288</v>
      </c>
      <c r="CZ201" s="60">
        <f t="shared" si="208"/>
        <v>322.81767004794284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>
        <f>EXP(-LN(2)/35)*DF200+(1-EXP(-LN(2)/35))/(LN(2)/35)*DB201*DC201*VLOOKUP('Données projet'!$B$13,Paramètres!$A$1:$I$89,3,0)*0.475*44/12</f>
        <v>0</v>
      </c>
      <c r="DG201" s="23">
        <f>EXP(-LN(2)/25)*DG200+(1-EXP(-LN(2)/25))/(LN(2)/25)*Calculateur!DB201*Calculateur!DD201*VLOOKUP('Données projet'!$B$13,Paramètres!$A$1:$I$89,3,0)*0.475*44/12</f>
        <v>0</v>
      </c>
      <c r="DH201" s="23">
        <f>EXP(-LN(2)/2)*DH200+(1-EXP(-LN(2)/2))/(LN(2)/2)*DB201*DE201*VLOOKUP('Données projet'!$B$13,Paramètres!$A$1:$I$89,3,0)*0.475*44/12</f>
        <v>0</v>
      </c>
      <c r="DI201" s="24">
        <f t="shared" si="175"/>
        <v>0</v>
      </c>
      <c r="DJ201" s="77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-1.1368683772161603E-13</v>
      </c>
      <c r="DP201" s="18">
        <f>DO201*VLOOKUP('Données projet'!$B$14,Paramètres!$A$1:$I$89,3,0)*VLOOKUP('Données projet'!$B$14,Paramètres!$A$1:$I$89,5,0)</f>
        <v>-1.0995790944434703E-13</v>
      </c>
      <c r="DQ201" s="14" t="e">
        <f t="shared" si="176"/>
        <v>#NUM!</v>
      </c>
      <c r="DR201" s="22" t="e">
        <f t="shared" si="177"/>
        <v>#NUM!</v>
      </c>
      <c r="DS201" s="60" t="e">
        <f t="shared" si="197"/>
        <v>#NUM!</v>
      </c>
      <c r="DT201" s="60">
        <f ca="1">AVERAGE(OFFSET($DS$3,0,0,'Données projet'!$E$14+1,1))-AVERAGE(OFFSET($H$3,0,0,'Données projet'!$E$14+1,1))</f>
        <v>562.69380557620775</v>
      </c>
      <c r="DU201" s="60">
        <f t="shared" si="209"/>
        <v>294.45557293177131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>
        <f>EXP(-LN(2)/35)*EA200+(1-EXP(-LN(2)/35))/(LN(2)/35)*DW201*DX201*VLOOKUP('Données projet'!$B$14,Paramètres!$A$1:$I$89,3,0)*0.475*44/12</f>
        <v>0</v>
      </c>
      <c r="EB201" s="23">
        <f>EXP(-LN(2)/25)*EB200+(1-EXP(-LN(2)/25))/(LN(2)/25)*Calculateur!DW201*Calculateur!DY201*VLOOKUP('Données projet'!$B$14,Paramètres!$A$1:$I$89,3,0)*0.475*44/12</f>
        <v>0</v>
      </c>
      <c r="EC201" s="23">
        <f>EXP(-LN(2)/2)*EC200+(1-EXP(-LN(2)/2))/(LN(2)/2)*DW201*DZ201*VLOOKUP('Données projet'!$B$14,Paramètres!$A$1:$I$89,3,0)*0.475*44/12</f>
        <v>0</v>
      </c>
      <c r="ED201" s="24">
        <f t="shared" si="178"/>
        <v>0</v>
      </c>
      <c r="EE201" s="77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1.1368683772161603E-13</v>
      </c>
      <c r="EK201" s="18">
        <f>EJ201*VLOOKUP('Données projet'!$B$15,Paramètres!$A$1:$I$89,3,0)*VLOOKUP('Données projet'!$B$15,Paramètres!$A$1:$I$89,5,0)</f>
        <v>8.8675733422860506E-14</v>
      </c>
      <c r="EL201" s="14">
        <f t="shared" si="179"/>
        <v>1.3509285393066301E-12</v>
      </c>
      <c r="EM201" s="22">
        <f t="shared" si="180"/>
        <v>2.5073107750038623E-12</v>
      </c>
      <c r="EN201" s="60">
        <f t="shared" si="198"/>
        <v>293.33333333333582</v>
      </c>
      <c r="EO201" s="60">
        <f ca="1">AVERAGE(OFFSET($EN$3,0,0,'Données projet'!$E$15+1,1))-AVERAGE(OFFSET($H$3,0,0,'Données projet'!$E$15+1,1))</f>
        <v>292.57482726862594</v>
      </c>
      <c r="EP201" s="60">
        <f t="shared" si="210"/>
        <v>283.48738729114024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>
        <f>EXP(-LN(2)/35)*EV200+(1-EXP(-LN(2)/35))/(LN(2)/35)*ER201*ES201*VLOOKUP('Données projet'!$B$15,Paramètres!$A$1:$I$89,3,0)*0.475*44/12</f>
        <v>0</v>
      </c>
      <c r="EW201" s="23">
        <f>EXP(-LN(2)/25)*EW200+(1-EXP(-LN(2)/25))/(LN(2)/25)*Calculateur!ER201*Calculateur!ET201*VLOOKUP('Données projet'!$B$15,Paramètres!$A$1:$I$89,3,0)*0.475*44/12</f>
        <v>0</v>
      </c>
      <c r="EX201" s="23">
        <f>EXP(-LN(2)/2)*EX200+(1-EXP(-LN(2)/2))/(LN(2)/2)*ER201*EU201*VLOOKUP('Données projet'!$B$15,Paramètres!$A$1:$I$89,3,0)*0.475*44/12</f>
        <v>0</v>
      </c>
      <c r="EY201" s="24">
        <f t="shared" si="181"/>
        <v>0</v>
      </c>
      <c r="EZ201" s="77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0" t="e">
        <f t="shared" si="199"/>
        <v>#N/A</v>
      </c>
      <c r="FJ201" s="60" t="e">
        <f ca="1">AVERAGE(OFFSET($FI$3,0,0,'Données projet'!$E$16+1,1))-AVERAGE(OFFSET($H$3,0,0,'Données projet'!$E$16+1,1))</f>
        <v>#N/A</v>
      </c>
      <c r="FK201" s="60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77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0" t="e">
        <f t="shared" si="200"/>
        <v>#N/A</v>
      </c>
      <c r="GE201" s="60" t="e">
        <f ca="1">AVERAGE(OFFSET($GD$3,0,0,'Données projet'!$E$17+1,1))-AVERAGE(OFFSET($H$3,0,0,'Données projet'!$E$17+1,1))</f>
        <v>#N/A</v>
      </c>
      <c r="GF201" s="60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77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0" t="e">
        <f t="shared" si="201"/>
        <v>#N/A</v>
      </c>
      <c r="GZ201" s="60" t="e">
        <f ca="1">AVERAGE(OFFSET($GY$3,0,0,'Données projet'!$E$18+1,1))-AVERAGE(OFFSET($H$3,0,0,'Données projet'!$E$18+1,1))</f>
        <v>#N/A</v>
      </c>
      <c r="HA201" s="60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25">
      <c r="A202" s="11">
        <f t="shared" si="161"/>
        <v>199</v>
      </c>
      <c r="B202" s="74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2">
        <f t="shared" si="202"/>
        <v>0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0</v>
      </c>
      <c r="H202" s="67">
        <f t="shared" si="192"/>
        <v>256.66666666666669</v>
      </c>
      <c r="I202" s="7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1.1368683772161603E-13</v>
      </c>
      <c r="O202" s="14">
        <f>N202*VLOOKUP('Données projet'!$B$9,Paramètres!$A$1:$I$89,3,0)*VLOOKUP('Données projet'!$B$9,Paramètres!$A$1:$I$89,5,0)</f>
        <v>1.0818439477588981E-13</v>
      </c>
      <c r="P202" s="14">
        <f t="shared" si="203"/>
        <v>1.6104228458716316E-12</v>
      </c>
      <c r="Q202" s="22">
        <f t="shared" si="162"/>
        <v>2.9932409441277661E-12</v>
      </c>
      <c r="R202" s="60">
        <f t="shared" si="191"/>
        <v>293.33333333333633</v>
      </c>
      <c r="S202" s="60">
        <f ca="1">AVERAGE(OFFSET($R$3,0,0,'Données projet'!$E$9+1,1))-AVERAGE(OFFSET($H$3,0,0,'Données projet'!$E$9+1,1))</f>
        <v>403.49781966317852</v>
      </c>
      <c r="T202" s="60">
        <f t="shared" si="204"/>
        <v>326.06674572505409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0</v>
      </c>
      <c r="AA202" s="23">
        <f>EXP(-LN(2)/25)*AA201+(1-EXP(-LN(2)/25))/(LN(2)/25)*Calculateur!V202*Calculateur!X202*VLOOKUP('Données projet'!$B$9,Paramètres!$A$1:$I$89,3,0)*0.475*44/12</f>
        <v>0</v>
      </c>
      <c r="AB202" s="23">
        <f>EXP(-LN(2)/2)*AB201+(1-EXP(-LN(2)/2))/(LN(2)/2)*V202*Y202*VLOOKUP('Données projet'!$B$9,Paramètres!$A$1:$I$89,3,0)*0.475*44/12</f>
        <v>0</v>
      </c>
      <c r="AC202" s="24">
        <f t="shared" si="163"/>
        <v>0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-1.1368683772161603E-13</v>
      </c>
      <c r="AJ202" s="14">
        <f>AI202*VLOOKUP('Données projet'!$B$10,Paramètres!$A$1:$I$89,3,0)*VLOOKUP('Données projet'!$B$10,Paramètres!$A$1:$I$89,5,0)</f>
        <v>-9.9316821433603781E-14</v>
      </c>
      <c r="AK202" s="14" t="e">
        <f t="shared" si="164"/>
        <v>#NUM!</v>
      </c>
      <c r="AL202" s="22" t="e">
        <f t="shared" si="165"/>
        <v>#NUM!</v>
      </c>
      <c r="AM202" s="60" t="e">
        <f t="shared" si="193"/>
        <v>#NUM!</v>
      </c>
      <c r="AN202" s="60">
        <f ca="1">AVERAGE(OFFSET($AM$3,0,0,'Données projet'!$E$10+1,1))-AVERAGE(OFFSET($H$3,0,0,'Données projet'!$E$10+1,1))</f>
        <v>274.66236526869056</v>
      </c>
      <c r="AO202" s="60">
        <f t="shared" si="205"/>
        <v>256.90876395053073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>
        <f>EXP(-LN(2)/35)*AU201+(1-EXP(-LN(2)/35))/(LN(2)/35)*AQ202*AR202*VLOOKUP('Données projet'!$B$10,Paramètres!$A$1:$I$89,3,0)*0.475*44/12</f>
        <v>0</v>
      </c>
      <c r="AV202" s="23">
        <f>EXP(-LN(2)/25)*AV201+(1-EXP(-LN(2)/25))/(LN(2)/25)*Calculateur!AQ202*Calculateur!AS202*VLOOKUP('Données projet'!$B$10,Paramètres!$A$1:$I$89,3,0)*0.475*44/12</f>
        <v>0</v>
      </c>
      <c r="AW202" s="23">
        <f>EXP(-LN(2)/2)*AW201+(1-EXP(-LN(2)/2))/(LN(2)/2)*AQ202*AT202*VLOOKUP('Données projet'!$B$10,Paramètres!$A$1:$I$89,3,0)*0.475*44/12</f>
        <v>0</v>
      </c>
      <c r="AX202" s="23">
        <f t="shared" si="166"/>
        <v>0</v>
      </c>
      <c r="AY202" s="76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-1.1368683772161603E-13</v>
      </c>
      <c r="BE202" s="14">
        <f>BD202*VLOOKUP('Données projet'!$B$11,Paramètres!$A$1:$I$89,3,0)*VLOOKUP('Données projet'!$B$11,Paramètres!$A$1:$I$89,5,0)</f>
        <v>-1.0286385077051818E-13</v>
      </c>
      <c r="BF202" s="14" t="e">
        <f t="shared" si="167"/>
        <v>#NUM!</v>
      </c>
      <c r="BG202" s="22" t="e">
        <f t="shared" si="168"/>
        <v>#NUM!</v>
      </c>
      <c r="BH202" s="60" t="e">
        <f t="shared" si="194"/>
        <v>#NUM!</v>
      </c>
      <c r="BI202" s="60">
        <f ca="1">AVERAGE(OFFSET($BH$3,0,0,'Données projet'!$E$11+1,1))-AVERAGE(OFFSET($H$3,0,0,'Données projet'!$E$11+1,1))</f>
        <v>529.25712986118265</v>
      </c>
      <c r="BJ202" s="60">
        <f t="shared" si="206"/>
        <v>278.21741231699929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>
        <f>EXP(-LN(2)/35)*BP201+(1-EXP(-LN(2)/35))/(LN(2)/35)*BL202*BM202*VLOOKUP('Données projet'!$B$11,Paramètres!$A$1:$I$89,3,0)*0.475*44/12</f>
        <v>0</v>
      </c>
      <c r="BQ202" s="23">
        <f>EXP(-LN(2)/25)*BQ201+(1-EXP(-LN(2)/25))/(LN(2)/25)*Calculateur!BL202*Calculateur!BN202*VLOOKUP('Données projet'!$B$11,Paramètres!$A$1:$I$89,3,0)*0.475*44/12</f>
        <v>0</v>
      </c>
      <c r="BR202" s="23">
        <f>EXP(-LN(2)/2)*BR201+(1-EXP(-LN(2)/2))/(LN(2)/2)*BL202*BO202*VLOOKUP('Données projet'!$B$11,Paramètres!$A$1:$I$89,3,0)*0.475*44/12</f>
        <v>0</v>
      </c>
      <c r="BS202" s="24">
        <f t="shared" si="169"/>
        <v>0</v>
      </c>
      <c r="BT202" s="77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-1.1368683772161603E-13</v>
      </c>
      <c r="BZ202" s="14">
        <f>BY202*VLOOKUP('Données projet'!$B$12,Paramètres!$A$1:$I$89,3,0)*VLOOKUP('Données projet'!$B$12,Paramètres!$A$1:$I$89,5,0)</f>
        <v>-1.1527845344971866E-13</v>
      </c>
      <c r="CA202" s="14" t="e">
        <f t="shared" si="170"/>
        <v>#NUM!</v>
      </c>
      <c r="CB202" s="22" t="e">
        <f t="shared" si="171"/>
        <v>#NUM!</v>
      </c>
      <c r="CC202" s="60" t="e">
        <f t="shared" si="195"/>
        <v>#NUM!</v>
      </c>
      <c r="CD202" s="60">
        <f ca="1">AVERAGE(OFFSET($CC$3,0,0,'Données projet'!$E$12+1,1))-AVERAGE(OFFSET($H$3,0,0,'Données projet'!$E$12+1,1))</f>
        <v>587.74247372331615</v>
      </c>
      <c r="CE202" s="60">
        <f t="shared" si="207"/>
        <v>306.61893266146666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>
        <f>EXP(-LN(2)/35)*CK201+(1-EXP(-LN(2)/35))/(LN(2)/35)*CG202*CH202*VLOOKUP('Données projet'!$B$12,Paramètres!$A$1:$I$89,3,0)*0.475*44/12</f>
        <v>0</v>
      </c>
      <c r="CL202" s="23">
        <f>EXP(-LN(2)/25)*CL201+(1-EXP(-LN(2)/25))/(LN(2)/25)*Calculateur!CG202*Calculateur!CI202*VLOOKUP('Données projet'!$B$12,Paramètres!$A$1:$I$89,3,0)*0.475*44/12</f>
        <v>0</v>
      </c>
      <c r="CM202" s="23">
        <f>EXP(-LN(2)/2)*CM201+(1-EXP(-LN(2)/2))/(LN(2)/2)*CG202*CJ202*VLOOKUP('Données projet'!$B$12,Paramètres!$A$1:$I$89,3,0)*0.475*44/12</f>
        <v>0</v>
      </c>
      <c r="CN202" s="24">
        <f t="shared" si="172"/>
        <v>0</v>
      </c>
      <c r="CO202" s="77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-1.1368683772161603E-13</v>
      </c>
      <c r="CU202" s="18">
        <f>CT202*VLOOKUP('Données projet'!$B$13,Paramètres!$A$1:$I$89,3,0)*VLOOKUP('Données projet'!$B$13,Paramètres!$A$1:$I$89,5,0)</f>
        <v>-1.223725121235475E-13</v>
      </c>
      <c r="CV202" s="14" t="e">
        <f t="shared" si="173"/>
        <v>#NUM!</v>
      </c>
      <c r="CW202" s="22" t="e">
        <f t="shared" si="174"/>
        <v>#NUM!</v>
      </c>
      <c r="CX202" s="60" t="e">
        <f t="shared" si="196"/>
        <v>#NUM!</v>
      </c>
      <c r="CY202" s="60">
        <f ca="1">AVERAGE(OFFSET($CX$3,0,0,'Données projet'!$E$13+1,1))-AVERAGE(OFFSET($H$3,0,0,'Données projet'!$E$13+1,1))</f>
        <v>621.10465023992288</v>
      </c>
      <c r="CZ202" s="60">
        <f t="shared" si="208"/>
        <v>322.81767004794284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>
        <f>EXP(-LN(2)/35)*DF201+(1-EXP(-LN(2)/35))/(LN(2)/35)*DB202*DC202*VLOOKUP('Données projet'!$B$13,Paramètres!$A$1:$I$89,3,0)*0.475*44/12</f>
        <v>0</v>
      </c>
      <c r="DG202" s="23">
        <f>EXP(-LN(2)/25)*DG201+(1-EXP(-LN(2)/25))/(LN(2)/25)*Calculateur!DB202*Calculateur!DD202*VLOOKUP('Données projet'!$B$13,Paramètres!$A$1:$I$89,3,0)*0.475*44/12</f>
        <v>0</v>
      </c>
      <c r="DH202" s="23">
        <f>EXP(-LN(2)/2)*DH201+(1-EXP(-LN(2)/2))/(LN(2)/2)*DB202*DE202*VLOOKUP('Données projet'!$B$13,Paramètres!$A$1:$I$89,3,0)*0.475*44/12</f>
        <v>0</v>
      </c>
      <c r="DI202" s="24">
        <f t="shared" si="175"/>
        <v>0</v>
      </c>
      <c r="DJ202" s="77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-1.1368683772161603E-13</v>
      </c>
      <c r="DP202" s="18">
        <f>DO202*VLOOKUP('Données projet'!$B$14,Paramètres!$A$1:$I$89,3,0)*VLOOKUP('Données projet'!$B$14,Paramètres!$A$1:$I$89,5,0)</f>
        <v>-1.0995790944434703E-13</v>
      </c>
      <c r="DQ202" s="14" t="e">
        <f t="shared" si="176"/>
        <v>#NUM!</v>
      </c>
      <c r="DR202" s="22" t="e">
        <f t="shared" si="177"/>
        <v>#NUM!</v>
      </c>
      <c r="DS202" s="60" t="e">
        <f t="shared" si="197"/>
        <v>#NUM!</v>
      </c>
      <c r="DT202" s="60">
        <f ca="1">AVERAGE(OFFSET($DS$3,0,0,'Données projet'!$E$14+1,1))-AVERAGE(OFFSET($H$3,0,0,'Données projet'!$E$14+1,1))</f>
        <v>562.69380557620775</v>
      </c>
      <c r="DU202" s="60">
        <f t="shared" si="209"/>
        <v>294.45557293177131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>
        <f>EXP(-LN(2)/35)*EA201+(1-EXP(-LN(2)/35))/(LN(2)/35)*DW202*DX202*VLOOKUP('Données projet'!$B$14,Paramètres!$A$1:$I$89,3,0)*0.475*44/12</f>
        <v>0</v>
      </c>
      <c r="EB202" s="23">
        <f>EXP(-LN(2)/25)*EB201+(1-EXP(-LN(2)/25))/(LN(2)/25)*Calculateur!DW202*Calculateur!DY202*VLOOKUP('Données projet'!$B$14,Paramètres!$A$1:$I$89,3,0)*0.475*44/12</f>
        <v>0</v>
      </c>
      <c r="EC202" s="23">
        <f>EXP(-LN(2)/2)*EC201+(1-EXP(-LN(2)/2))/(LN(2)/2)*DW202*DZ202*VLOOKUP('Données projet'!$B$14,Paramètres!$A$1:$I$89,3,0)*0.475*44/12</f>
        <v>0</v>
      </c>
      <c r="ED202" s="24">
        <f t="shared" si="178"/>
        <v>0</v>
      </c>
      <c r="EE202" s="77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1.1368683772161603E-13</v>
      </c>
      <c r="EK202" s="18">
        <f>EJ202*VLOOKUP('Données projet'!$B$15,Paramètres!$A$1:$I$89,3,0)*VLOOKUP('Données projet'!$B$15,Paramètres!$A$1:$I$89,5,0)</f>
        <v>8.8675733422860506E-14</v>
      </c>
      <c r="EL202" s="14">
        <f t="shared" si="179"/>
        <v>1.3509285393066301E-12</v>
      </c>
      <c r="EM202" s="22">
        <f t="shared" si="180"/>
        <v>2.5073107750038623E-12</v>
      </c>
      <c r="EN202" s="60">
        <f t="shared" si="198"/>
        <v>293.33333333333582</v>
      </c>
      <c r="EO202" s="60">
        <f ca="1">AVERAGE(OFFSET($EN$3,0,0,'Données projet'!$E$15+1,1))-AVERAGE(OFFSET($H$3,0,0,'Données projet'!$E$15+1,1))</f>
        <v>292.57482726862594</v>
      </c>
      <c r="EP202" s="60">
        <f t="shared" si="210"/>
        <v>283.48738729114024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>
        <f>EXP(-LN(2)/35)*EV201+(1-EXP(-LN(2)/35))/(LN(2)/35)*ER202*ES202*VLOOKUP('Données projet'!$B$15,Paramètres!$A$1:$I$89,3,0)*0.475*44/12</f>
        <v>0</v>
      </c>
      <c r="EW202" s="23">
        <f>EXP(-LN(2)/25)*EW201+(1-EXP(-LN(2)/25))/(LN(2)/25)*Calculateur!ER202*Calculateur!ET202*VLOOKUP('Données projet'!$B$15,Paramètres!$A$1:$I$89,3,0)*0.475*44/12</f>
        <v>0</v>
      </c>
      <c r="EX202" s="23">
        <f>EXP(-LN(2)/2)*EX201+(1-EXP(-LN(2)/2))/(LN(2)/2)*ER202*EU202*VLOOKUP('Données projet'!$B$15,Paramètres!$A$1:$I$89,3,0)*0.475*44/12</f>
        <v>0</v>
      </c>
      <c r="EY202" s="24">
        <f t="shared" si="181"/>
        <v>0</v>
      </c>
      <c r="EZ202" s="77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0" t="e">
        <f t="shared" si="199"/>
        <v>#N/A</v>
      </c>
      <c r="FJ202" s="60" t="e">
        <f ca="1">AVERAGE(OFFSET($FI$3,0,0,'Données projet'!$E$16+1,1))-AVERAGE(OFFSET($H$3,0,0,'Données projet'!$E$16+1,1))</f>
        <v>#N/A</v>
      </c>
      <c r="FK202" s="60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77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0" t="e">
        <f t="shared" si="200"/>
        <v>#N/A</v>
      </c>
      <c r="GE202" s="60" t="e">
        <f ca="1">AVERAGE(OFFSET($GD$3,0,0,'Données projet'!$E$17+1,1))-AVERAGE(OFFSET($H$3,0,0,'Données projet'!$E$17+1,1))</f>
        <v>#N/A</v>
      </c>
      <c r="GF202" s="60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77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0" t="e">
        <f t="shared" si="201"/>
        <v>#N/A</v>
      </c>
      <c r="GZ202" s="60" t="e">
        <f ca="1">AVERAGE(OFFSET($GY$3,0,0,'Données projet'!$E$18+1,1))-AVERAGE(OFFSET($H$3,0,0,'Données projet'!$E$18+1,1))</f>
        <v>#N/A</v>
      </c>
      <c r="HA202" s="60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.75" thickBot="1" x14ac:dyDescent="0.3">
      <c r="A203" s="11">
        <f>A202+1</f>
        <v>200</v>
      </c>
      <c r="B203" s="74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2">
        <f t="shared" si="202"/>
        <v>0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0</v>
      </c>
      <c r="H203" s="67">
        <f t="shared" si="192"/>
        <v>256.66666666666669</v>
      </c>
      <c r="I203" s="7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1.1368683772161603E-13</v>
      </c>
      <c r="O203" s="14">
        <f>N203*VLOOKUP('Données projet'!$B$9,Paramètres!$A$1:$I$89,3,0)*VLOOKUP('Données projet'!$B$9,Paramètres!$A$1:$I$89,5,0)</f>
        <v>1.0818439477588981E-13</v>
      </c>
      <c r="P203" s="14">
        <f t="shared" si="203"/>
        <v>1.6104228458716316E-12</v>
      </c>
      <c r="Q203" s="22">
        <f t="shared" si="162"/>
        <v>2.9932409441277661E-12</v>
      </c>
      <c r="R203" s="60">
        <f t="shared" si="191"/>
        <v>293.33333333333633</v>
      </c>
      <c r="S203" s="60">
        <f ca="1">AVERAGE(OFFSET($R$3,0,0,'Données projet'!$E$9+1,1))-AVERAGE(OFFSET($H$3,0,0,'Données projet'!$E$9+1,1))</f>
        <v>403.49781966317852</v>
      </c>
      <c r="T203" s="60">
        <f t="shared" si="204"/>
        <v>326.06674572505409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0</v>
      </c>
      <c r="AA203" s="23">
        <f>EXP(-LN(2)/25)*AA202+(1-EXP(-LN(2)/25))/(LN(2)/25)*Calculateur!V203*Calculateur!X203*VLOOKUP('Données projet'!$B$9,Paramètres!$A$1:$I$89,3,0)*0.475*44/12</f>
        <v>0</v>
      </c>
      <c r="AB203" s="23">
        <f>EXP(-LN(2)/2)*AB202+(1-EXP(-LN(2)/2))/(LN(2)/2)*V203*Y203*VLOOKUP('Données projet'!$B$9,Paramètres!$A$1:$I$89,3,0)*0.475*44/12</f>
        <v>0</v>
      </c>
      <c r="AC203" s="24">
        <f t="shared" si="163"/>
        <v>0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-1.1368683772161603E-13</v>
      </c>
      <c r="AJ203" s="14">
        <f>AI203*VLOOKUP('Données projet'!$B$10,Paramètres!$A$1:$I$89,3,0)*VLOOKUP('Données projet'!$B$10,Paramètres!$A$1:$I$89,5,0)</f>
        <v>-9.9316821433603781E-14</v>
      </c>
      <c r="AK203" s="14" t="e">
        <f t="shared" si="164"/>
        <v>#NUM!</v>
      </c>
      <c r="AL203" s="22" t="e">
        <f t="shared" si="165"/>
        <v>#NUM!</v>
      </c>
      <c r="AM203" s="60" t="e">
        <f t="shared" si="193"/>
        <v>#NUM!</v>
      </c>
      <c r="AN203" s="60">
        <f ca="1">AVERAGE(OFFSET($AM$3,0,0,'Données projet'!$E$10+1,1))-AVERAGE(OFFSET($H$3,0,0,'Données projet'!$E$10+1,1))</f>
        <v>274.66236526869056</v>
      </c>
      <c r="AO203" s="60">
        <f t="shared" si="205"/>
        <v>256.90876395053073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>
        <f>EXP(-LN(2)/35)*AU202+(1-EXP(-LN(2)/35))/(LN(2)/35)*AQ203*AR203*VLOOKUP('Données projet'!$B$10,Paramètres!$A$1:$I$89,3,0)*0.475*44/12</f>
        <v>0</v>
      </c>
      <c r="AV203" s="23">
        <f>EXP(-LN(2)/25)*AV202+(1-EXP(-LN(2)/25))/(LN(2)/25)*Calculateur!AQ203*Calculateur!AS203*VLOOKUP('Données projet'!$B$10,Paramètres!$A$1:$I$89,3,0)*0.475*44/12</f>
        <v>0</v>
      </c>
      <c r="AW203" s="23">
        <f>EXP(-LN(2)/2)*AW202+(1-EXP(-LN(2)/2))/(LN(2)/2)*AQ203*AT203*VLOOKUP('Données projet'!$B$10,Paramètres!$A$1:$I$89,3,0)*0.475*44/12</f>
        <v>0</v>
      </c>
      <c r="AX203" s="23">
        <f t="shared" si="166"/>
        <v>0</v>
      </c>
      <c r="AY203" s="76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-1.1368683772161603E-13</v>
      </c>
      <c r="BE203" s="14">
        <f>BD203*VLOOKUP('Données projet'!$B$11,Paramètres!$A$1:$I$89,3,0)*VLOOKUP('Données projet'!$B$11,Paramètres!$A$1:$I$89,5,0)</f>
        <v>-1.0286385077051818E-13</v>
      </c>
      <c r="BF203" s="14" t="e">
        <f t="shared" si="167"/>
        <v>#NUM!</v>
      </c>
      <c r="BG203" s="22" t="e">
        <f t="shared" si="168"/>
        <v>#NUM!</v>
      </c>
      <c r="BH203" s="60" t="e">
        <f t="shared" si="194"/>
        <v>#NUM!</v>
      </c>
      <c r="BI203" s="60">
        <f ca="1">AVERAGE(OFFSET($BH$3,0,0,'Données projet'!$E$11+1,1))-AVERAGE(OFFSET($H$3,0,0,'Données projet'!$E$11+1,1))</f>
        <v>529.25712986118265</v>
      </c>
      <c r="BJ203" s="60">
        <f t="shared" si="206"/>
        <v>278.21741231699929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>
        <f>EXP(-LN(2)/35)*BP202+(1-EXP(-LN(2)/35))/(LN(2)/35)*BL203*BM203*VLOOKUP('Données projet'!$B$11,Paramètres!$A$1:$I$89,3,0)*0.475*44/12</f>
        <v>0</v>
      </c>
      <c r="BQ203" s="23">
        <f>EXP(-LN(2)/25)*BQ202+(1-EXP(-LN(2)/25))/(LN(2)/25)*Calculateur!BL203*Calculateur!BN203*VLOOKUP('Données projet'!$B$11,Paramètres!$A$1:$I$89,3,0)*0.475*44/12</f>
        <v>0</v>
      </c>
      <c r="BR203" s="23">
        <f>EXP(-LN(2)/2)*BR202+(1-EXP(-LN(2)/2))/(LN(2)/2)*BL203*BO203*VLOOKUP('Données projet'!$B$11,Paramètres!$A$1:$I$89,3,0)*0.475*44/12</f>
        <v>0</v>
      </c>
      <c r="BS203" s="24">
        <f t="shared" si="169"/>
        <v>0</v>
      </c>
      <c r="BT203" s="77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-1.1368683772161603E-13</v>
      </c>
      <c r="BZ203" s="14">
        <f>BY203*VLOOKUP('Données projet'!$B$12,Paramètres!$A$1:$I$89,3,0)*VLOOKUP('Données projet'!$B$12,Paramètres!$A$1:$I$89,5,0)</f>
        <v>-1.1527845344971866E-13</v>
      </c>
      <c r="CA203" s="14" t="e">
        <f t="shared" si="170"/>
        <v>#NUM!</v>
      </c>
      <c r="CB203" s="22" t="e">
        <f t="shared" si="171"/>
        <v>#NUM!</v>
      </c>
      <c r="CC203" s="60" t="e">
        <f t="shared" si="195"/>
        <v>#NUM!</v>
      </c>
      <c r="CD203" s="60">
        <f ca="1">AVERAGE(OFFSET($CC$3,0,0,'Données projet'!$E$12+1,1))-AVERAGE(OFFSET($H$3,0,0,'Données projet'!$E$12+1,1))</f>
        <v>587.74247372331615</v>
      </c>
      <c r="CE203" s="60">
        <f t="shared" si="207"/>
        <v>306.61893266146666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>
        <f>EXP(-LN(2)/35)*CK202+(1-EXP(-LN(2)/35))/(LN(2)/35)*CG203*CH203*VLOOKUP('Données projet'!$B$12,Paramètres!$A$1:$I$89,3,0)*0.475*44/12</f>
        <v>0</v>
      </c>
      <c r="CL203" s="23">
        <f>EXP(-LN(2)/25)*CL202+(1-EXP(-LN(2)/25))/(LN(2)/25)*Calculateur!CG203*Calculateur!CI203*VLOOKUP('Données projet'!$B$12,Paramètres!$A$1:$I$89,3,0)*0.475*44/12</f>
        <v>0</v>
      </c>
      <c r="CM203" s="23">
        <f>EXP(-LN(2)/2)*CM202+(1-EXP(-LN(2)/2))/(LN(2)/2)*CG203*CJ203*VLOOKUP('Données projet'!$B$12,Paramètres!$A$1:$I$89,3,0)*0.475*44/12</f>
        <v>0</v>
      </c>
      <c r="CN203" s="24">
        <f t="shared" si="172"/>
        <v>0</v>
      </c>
      <c r="CO203" s="77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-1.1368683772161603E-13</v>
      </c>
      <c r="CU203" s="18">
        <f>CT203*VLOOKUP('Données projet'!$B$13,Paramètres!$A$1:$I$89,3,0)*VLOOKUP('Données projet'!$B$13,Paramètres!$A$1:$I$89,5,0)</f>
        <v>-1.223725121235475E-13</v>
      </c>
      <c r="CV203" s="14" t="e">
        <f t="shared" si="173"/>
        <v>#NUM!</v>
      </c>
      <c r="CW203" s="22" t="e">
        <f t="shared" si="174"/>
        <v>#NUM!</v>
      </c>
      <c r="CX203" s="60" t="e">
        <f t="shared" si="196"/>
        <v>#NUM!</v>
      </c>
      <c r="CY203" s="60">
        <f ca="1">AVERAGE(OFFSET($CX$3,0,0,'Données projet'!$E$13+1,1))-AVERAGE(OFFSET($H$3,0,0,'Données projet'!$E$13+1,1))</f>
        <v>621.10465023992288</v>
      </c>
      <c r="CZ203" s="60">
        <f t="shared" si="208"/>
        <v>322.81767004794284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>
        <f>EXP(-LN(2)/35)*DF202+(1-EXP(-LN(2)/35))/(LN(2)/35)*DB203*DC203*VLOOKUP('Données projet'!$B$13,Paramètres!$A$1:$I$89,3,0)*0.475*44/12</f>
        <v>0</v>
      </c>
      <c r="DG203" s="23">
        <f>EXP(-LN(2)/25)*DG202+(1-EXP(-LN(2)/25))/(LN(2)/25)*Calculateur!DB203*Calculateur!DD203*VLOOKUP('Données projet'!$B$13,Paramètres!$A$1:$I$89,3,0)*0.475*44/12</f>
        <v>0</v>
      </c>
      <c r="DH203" s="23">
        <f>EXP(-LN(2)/2)*DH202+(1-EXP(-LN(2)/2))/(LN(2)/2)*DB203*DE203*VLOOKUP('Données projet'!$B$13,Paramètres!$A$1:$I$89,3,0)*0.475*44/12</f>
        <v>0</v>
      </c>
      <c r="DI203" s="24">
        <f t="shared" si="175"/>
        <v>0</v>
      </c>
      <c r="DJ203" s="77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-1.1368683772161603E-13</v>
      </c>
      <c r="DP203" s="18">
        <f>DO203*VLOOKUP('Données projet'!$B$14,Paramètres!$A$1:$I$89,3,0)*VLOOKUP('Données projet'!$B$14,Paramètres!$A$1:$I$89,5,0)</f>
        <v>-1.0995790944434703E-13</v>
      </c>
      <c r="DQ203" s="14" t="e">
        <f t="shared" si="176"/>
        <v>#NUM!</v>
      </c>
      <c r="DR203" s="22" t="e">
        <f t="shared" si="177"/>
        <v>#NUM!</v>
      </c>
      <c r="DS203" s="60" t="e">
        <f t="shared" si="197"/>
        <v>#NUM!</v>
      </c>
      <c r="DT203" s="60">
        <f ca="1">AVERAGE(OFFSET($DS$3,0,0,'Données projet'!$E$14+1,1))-AVERAGE(OFFSET($H$3,0,0,'Données projet'!$E$14+1,1))</f>
        <v>562.69380557620775</v>
      </c>
      <c r="DU203" s="60">
        <f t="shared" si="209"/>
        <v>294.45557293177131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>
        <f>EXP(-LN(2)/35)*EA202+(1-EXP(-LN(2)/35))/(LN(2)/35)*DW203*DX203*VLOOKUP('Données projet'!$B$14,Paramètres!$A$1:$I$89,3,0)*0.475*44/12</f>
        <v>0</v>
      </c>
      <c r="EB203" s="23">
        <f>EXP(-LN(2)/25)*EB202+(1-EXP(-LN(2)/25))/(LN(2)/25)*Calculateur!DW203*Calculateur!DY203*VLOOKUP('Données projet'!$B$14,Paramètres!$A$1:$I$89,3,0)*0.475*44/12</f>
        <v>0</v>
      </c>
      <c r="EC203" s="23">
        <f>EXP(-LN(2)/2)*EC202+(1-EXP(-LN(2)/2))/(LN(2)/2)*DW203*DZ203*VLOOKUP('Données projet'!$B$14,Paramètres!$A$1:$I$89,3,0)*0.475*44/12</f>
        <v>0</v>
      </c>
      <c r="ED203" s="24">
        <f t="shared" si="178"/>
        <v>0</v>
      </c>
      <c r="EE203" s="77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1.1368683772161603E-13</v>
      </c>
      <c r="EK203" s="18">
        <f>EJ203*VLOOKUP('Données projet'!$B$15,Paramètres!$A$1:$I$89,3,0)*VLOOKUP('Données projet'!$B$15,Paramètres!$A$1:$I$89,5,0)</f>
        <v>8.8675733422860506E-14</v>
      </c>
      <c r="EL203" s="14">
        <f t="shared" si="179"/>
        <v>1.3509285393066301E-12</v>
      </c>
      <c r="EM203" s="22">
        <f t="shared" si="180"/>
        <v>2.5073107750038623E-12</v>
      </c>
      <c r="EN203" s="60">
        <f t="shared" si="198"/>
        <v>293.33333333333582</v>
      </c>
      <c r="EO203" s="60">
        <f ca="1">AVERAGE(OFFSET($EN$3,0,0,'Données projet'!$E$15+1,1))-AVERAGE(OFFSET($H$3,0,0,'Données projet'!$E$15+1,1))</f>
        <v>292.57482726862594</v>
      </c>
      <c r="EP203" s="60">
        <f t="shared" si="210"/>
        <v>283.48738729114024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>
        <f>EXP(-LN(2)/35)*EV202+(1-EXP(-LN(2)/35))/(LN(2)/35)*ER203*ES203*VLOOKUP('Données projet'!$B$15,Paramètres!$A$1:$I$89,3,0)*0.475*44/12</f>
        <v>0</v>
      </c>
      <c r="EW203" s="23">
        <f>EXP(-LN(2)/25)*EW202+(1-EXP(-LN(2)/25))/(LN(2)/25)*Calculateur!ER203*Calculateur!ET203*VLOOKUP('Données projet'!$B$15,Paramètres!$A$1:$I$89,3,0)*0.475*44/12</f>
        <v>0</v>
      </c>
      <c r="EX203" s="23">
        <f>EXP(-LN(2)/2)*EX202+(1-EXP(-LN(2)/2))/(LN(2)/2)*ER203*EU203*VLOOKUP('Données projet'!$B$15,Paramètres!$A$1:$I$89,3,0)*0.475*44/12</f>
        <v>0</v>
      </c>
      <c r="EY203" s="24">
        <f t="shared" si="181"/>
        <v>0</v>
      </c>
      <c r="EZ203" s="77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0" t="e">
        <f t="shared" si="199"/>
        <v>#N/A</v>
      </c>
      <c r="FJ203" s="60" t="e">
        <f ca="1">AVERAGE(OFFSET($FI$3,0,0,'Données projet'!$E$16+1,1))-AVERAGE(OFFSET($H$3,0,0,'Données projet'!$E$16+1,1))</f>
        <v>#N/A</v>
      </c>
      <c r="FK203" s="60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77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0" t="e">
        <f t="shared" si="200"/>
        <v>#N/A</v>
      </c>
      <c r="GE203" s="60" t="e">
        <f ca="1">AVERAGE(OFFSET($GD$3,0,0,'Données projet'!$E$17+1,1))-AVERAGE(OFFSET($H$3,0,0,'Données projet'!$E$17+1,1))</f>
        <v>#N/A</v>
      </c>
      <c r="GF203" s="60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77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0" t="e">
        <f t="shared" si="201"/>
        <v>#N/A</v>
      </c>
      <c r="GZ203" s="60" t="e">
        <f ca="1">AVERAGE(OFFSET($GY$3,0,0,'Données projet'!$E$18+1,1))-AVERAGE(OFFSET($H$3,0,0,'Données projet'!$E$18+1,1))</f>
        <v>#N/A</v>
      </c>
      <c r="HA203" s="60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.75" thickBot="1" x14ac:dyDescent="0.3">
      <c r="B204" s="80"/>
      <c r="C204" s="78"/>
      <c r="D204" s="79"/>
      <c r="E204" s="79"/>
      <c r="F204" s="79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8"/>
      <c r="I204" s="78"/>
      <c r="J204" s="78"/>
      <c r="K204" s="87" t="s">
        <v>293</v>
      </c>
      <c r="L204" s="81"/>
      <c r="M204" s="81"/>
      <c r="N204" s="81"/>
      <c r="O204" s="78"/>
      <c r="P204" s="78"/>
      <c r="Q204" s="79"/>
      <c r="R204" s="82"/>
      <c r="S204" s="82"/>
      <c r="T204" s="82"/>
      <c r="U204" s="81"/>
      <c r="V204" s="81"/>
      <c r="W204" s="83"/>
      <c r="X204" s="83"/>
      <c r="Y204" s="83"/>
      <c r="Z204" s="78"/>
      <c r="AA204" s="78"/>
      <c r="AB204" s="78"/>
      <c r="AC204" s="78"/>
      <c r="AD204" s="78"/>
      <c r="AE204" s="78"/>
      <c r="AF204" s="84" t="s">
        <v>293</v>
      </c>
      <c r="BA204" s="84" t="s">
        <v>293</v>
      </c>
      <c r="BV204" s="84" t="s">
        <v>293</v>
      </c>
      <c r="CQ204" s="84" t="s">
        <v>293</v>
      </c>
      <c r="DL204" s="84" t="s">
        <v>293</v>
      </c>
      <c r="EG204" s="84" t="s">
        <v>293</v>
      </c>
      <c r="FB204" s="84" t="s">
        <v>293</v>
      </c>
      <c r="FW204" s="84" t="s">
        <v>293</v>
      </c>
      <c r="GR204" s="84" t="s">
        <v>293</v>
      </c>
    </row>
    <row r="205" spans="1:218" ht="15.75" thickBot="1" x14ac:dyDescent="0.3">
      <c r="B205" s="80"/>
      <c r="C205" s="78"/>
      <c r="D205" s="79"/>
      <c r="E205" s="79"/>
      <c r="F205" s="79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8"/>
      <c r="I205" s="78"/>
      <c r="J205" s="78"/>
      <c r="K205" s="85">
        <f>EXP(LN('Données projet'!B36)/'Données projet'!A36)</f>
        <v>1.2934226882877784</v>
      </c>
      <c r="L205" s="81"/>
      <c r="M205" s="81"/>
      <c r="N205" s="81"/>
      <c r="O205" s="78"/>
      <c r="P205" s="78"/>
      <c r="Q205" s="79"/>
      <c r="R205" s="82"/>
      <c r="S205" s="82"/>
      <c r="T205" s="82"/>
      <c r="U205" s="81"/>
      <c r="V205" s="81"/>
      <c r="W205" s="83"/>
      <c r="X205" s="83"/>
      <c r="Y205" s="83"/>
      <c r="Z205" s="78"/>
      <c r="AA205" s="78"/>
      <c r="AB205" s="78"/>
      <c r="AC205" s="78"/>
      <c r="AD205" s="78"/>
      <c r="AE205" s="78"/>
      <c r="AF205" s="86">
        <f>EXP(LN('Données projet'!B62)/'Données projet'!A62)</f>
        <v>1.1577536725165907</v>
      </c>
      <c r="BA205" s="85">
        <f>EXP(LN('Données projet'!B88)/'Données projet'!A88)</f>
        <v>1.2392705892426346</v>
      </c>
      <c r="BV205" s="85">
        <f>EXP(LN('Données projet'!B114)/'Données projet'!A114)</f>
        <v>1.2392705892426346</v>
      </c>
      <c r="CQ205" s="85">
        <f>EXP(LN('Données projet'!B140)/'Données projet'!A140)</f>
        <v>1.2392705892426346</v>
      </c>
      <c r="DL205" s="85">
        <f>EXP(LN('Données projet'!B166)/'Données projet'!A166)</f>
        <v>1.2392705892426346</v>
      </c>
      <c r="EG205" s="85">
        <f>EXP(LN('Données projet'!B192)/'Données projet'!A192)</f>
        <v>1.2788040393997409</v>
      </c>
      <c r="FB205" s="85" t="e">
        <f>EXP(LN('Données projet'!B218)/'Données projet'!A218)</f>
        <v>#NUM!</v>
      </c>
      <c r="FW205" s="85" t="e">
        <f>EXP(LN('Données projet'!B244)/'Données projet'!A244)</f>
        <v>#NUM!</v>
      </c>
      <c r="GR205" s="85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4"/>
  <dimension ref="A1:P95"/>
  <sheetViews>
    <sheetView topLeftCell="A53" workbookViewId="0">
      <selection activeCell="D102" sqref="D102"/>
    </sheetView>
  </sheetViews>
  <sheetFormatPr baseColWidth="10" defaultRowHeight="15" x14ac:dyDescent="0.25"/>
  <cols>
    <col min="1" max="1" width="23.42578125" style="5" bestFit="1" customWidth="1"/>
    <col min="2" max="2" width="27.7109375" style="5" bestFit="1" customWidth="1"/>
    <col min="3" max="3" width="11.85546875" style="5" bestFit="1" customWidth="1"/>
    <col min="4" max="4" width="40" style="5" bestFit="1" customWidth="1"/>
    <col min="5" max="5" width="11.85546875" style="5" bestFit="1" customWidth="1"/>
    <col min="6" max="6" width="13.7109375" style="5" bestFit="1" customWidth="1"/>
    <col min="7" max="7" width="11.42578125" style="5" bestFit="1" customWidth="1"/>
    <col min="8" max="8" width="39" style="5" bestFit="1" customWidth="1"/>
    <col min="9" max="9" width="16.7109375" style="5" customWidth="1"/>
    <col min="10" max="14" width="11.42578125" style="5"/>
    <col min="15" max="15" width="23.42578125" style="5" bestFit="1" customWidth="1"/>
    <col min="16" max="16384" width="11.42578125" style="5"/>
  </cols>
  <sheetData>
    <row r="1" spans="1:16" ht="45.75" thickBot="1" x14ac:dyDescent="0.3">
      <c r="A1" s="116" t="s">
        <v>0</v>
      </c>
      <c r="B1" s="117" t="s">
        <v>106</v>
      </c>
      <c r="C1" s="118" t="s">
        <v>144</v>
      </c>
      <c r="D1" s="117" t="s">
        <v>100</v>
      </c>
      <c r="E1" s="118" t="s">
        <v>145</v>
      </c>
      <c r="F1" s="118" t="s">
        <v>100</v>
      </c>
      <c r="G1" s="118" t="s">
        <v>146</v>
      </c>
      <c r="H1" s="118" t="s">
        <v>100</v>
      </c>
      <c r="I1" s="119" t="s">
        <v>147</v>
      </c>
      <c r="J1" s="96"/>
      <c r="K1" s="96"/>
      <c r="L1" s="96"/>
      <c r="M1" s="96"/>
      <c r="N1" s="96"/>
    </row>
    <row r="2" spans="1:16" x14ac:dyDescent="0.25">
      <c r="A2" s="120" t="s">
        <v>1</v>
      </c>
      <c r="B2" s="121" t="s">
        <v>53</v>
      </c>
      <c r="C2" s="122">
        <v>0.62</v>
      </c>
      <c r="D2" s="122" t="s">
        <v>161</v>
      </c>
      <c r="E2" s="122">
        <v>1.56</v>
      </c>
      <c r="F2" s="122" t="s">
        <v>274</v>
      </c>
      <c r="G2" s="123">
        <v>0.43</v>
      </c>
      <c r="H2" s="124" t="s">
        <v>278</v>
      </c>
      <c r="I2" s="125">
        <v>0.25</v>
      </c>
      <c r="J2" s="96"/>
      <c r="K2" s="96"/>
      <c r="L2" s="96"/>
      <c r="M2" s="96"/>
      <c r="N2" s="96"/>
      <c r="O2" s="313" t="s">
        <v>238</v>
      </c>
      <c r="P2" s="126">
        <v>0</v>
      </c>
    </row>
    <row r="3" spans="1:16" ht="15.75" thickBot="1" x14ac:dyDescent="0.3">
      <c r="A3" s="127" t="s">
        <v>2</v>
      </c>
      <c r="B3" s="128" t="s">
        <v>54</v>
      </c>
      <c r="C3" s="129">
        <v>0.64</v>
      </c>
      <c r="D3" s="129" t="s">
        <v>161</v>
      </c>
      <c r="E3" s="129">
        <v>1.56</v>
      </c>
      <c r="F3" s="130" t="s">
        <v>274</v>
      </c>
      <c r="G3" s="131">
        <v>0.43</v>
      </c>
      <c r="H3" s="129" t="s">
        <v>278</v>
      </c>
      <c r="I3" s="132">
        <v>0.25</v>
      </c>
      <c r="J3" s="96"/>
      <c r="K3" s="96"/>
      <c r="L3" s="96"/>
      <c r="M3" s="96"/>
      <c r="N3" s="96"/>
      <c r="O3" s="314"/>
      <c r="P3" s="133">
        <v>0.2</v>
      </c>
    </row>
    <row r="4" spans="1:16" ht="15.75" thickBot="1" x14ac:dyDescent="0.3">
      <c r="A4" s="127" t="s">
        <v>98</v>
      </c>
      <c r="B4" s="128" t="s">
        <v>99</v>
      </c>
      <c r="C4" s="129">
        <v>0.42</v>
      </c>
      <c r="D4" s="129" t="s">
        <v>161</v>
      </c>
      <c r="E4" s="129">
        <v>1.56</v>
      </c>
      <c r="F4" s="130" t="s">
        <v>274</v>
      </c>
      <c r="G4" s="131">
        <v>0.43</v>
      </c>
      <c r="H4" s="129" t="s">
        <v>278</v>
      </c>
      <c r="I4" s="132">
        <v>0.25</v>
      </c>
      <c r="J4" s="96"/>
      <c r="K4" s="96"/>
      <c r="L4" s="96"/>
      <c r="M4" s="96"/>
      <c r="N4" s="96"/>
    </row>
    <row r="5" spans="1:16" x14ac:dyDescent="0.25">
      <c r="A5" s="127" t="s">
        <v>4</v>
      </c>
      <c r="B5" s="128" t="s">
        <v>55</v>
      </c>
      <c r="C5" s="129">
        <v>0.42</v>
      </c>
      <c r="D5" s="129" t="s">
        <v>161</v>
      </c>
      <c r="E5" s="129">
        <v>1.56</v>
      </c>
      <c r="F5" s="130" t="s">
        <v>274</v>
      </c>
      <c r="G5" s="131">
        <v>0.43</v>
      </c>
      <c r="H5" s="129" t="s">
        <v>278</v>
      </c>
      <c r="I5" s="132">
        <v>0.25</v>
      </c>
      <c r="J5" s="96"/>
      <c r="K5" s="96"/>
      <c r="L5" s="96"/>
      <c r="M5" s="96"/>
      <c r="N5" s="96"/>
      <c r="O5" s="313" t="s">
        <v>237</v>
      </c>
      <c r="P5" s="126">
        <v>0</v>
      </c>
    </row>
    <row r="6" spans="1:16" x14ac:dyDescent="0.25">
      <c r="A6" s="127" t="s">
        <v>3</v>
      </c>
      <c r="B6" s="128" t="s">
        <v>97</v>
      </c>
      <c r="C6" s="129">
        <v>0.42</v>
      </c>
      <c r="D6" s="129" t="s">
        <v>161</v>
      </c>
      <c r="E6" s="129">
        <v>1.56</v>
      </c>
      <c r="F6" s="130" t="s">
        <v>274</v>
      </c>
      <c r="G6" s="131">
        <v>0.43</v>
      </c>
      <c r="H6" s="129" t="s">
        <v>278</v>
      </c>
      <c r="I6" s="132">
        <v>0.25</v>
      </c>
      <c r="J6" s="96"/>
      <c r="K6" s="96"/>
      <c r="L6" s="96"/>
      <c r="M6" s="96"/>
      <c r="N6" s="96"/>
      <c r="O6" s="315"/>
      <c r="P6" s="134">
        <v>0.05</v>
      </c>
    </row>
    <row r="7" spans="1:16" x14ac:dyDescent="0.25">
      <c r="A7" s="127" t="s">
        <v>5</v>
      </c>
      <c r="B7" s="128" t="s">
        <v>56</v>
      </c>
      <c r="C7" s="129">
        <v>0.52</v>
      </c>
      <c r="D7" s="129" t="s">
        <v>161</v>
      </c>
      <c r="E7" s="129">
        <v>1.56</v>
      </c>
      <c r="F7" s="130" t="s">
        <v>274</v>
      </c>
      <c r="G7" s="131">
        <v>0.43</v>
      </c>
      <c r="H7" s="129" t="s">
        <v>278</v>
      </c>
      <c r="I7" s="132">
        <v>0.25</v>
      </c>
      <c r="J7" s="96"/>
      <c r="K7" s="96"/>
      <c r="L7" s="96"/>
      <c r="M7" s="96"/>
      <c r="N7" s="96"/>
      <c r="O7" s="315"/>
      <c r="P7" s="134">
        <v>0.1</v>
      </c>
    </row>
    <row r="8" spans="1:16" ht="15.75" thickBot="1" x14ac:dyDescent="0.3">
      <c r="A8" s="127" t="s">
        <v>164</v>
      </c>
      <c r="B8" s="128" t="s">
        <v>57</v>
      </c>
      <c r="C8" s="129">
        <v>0.36</v>
      </c>
      <c r="D8" s="129" t="s">
        <v>161</v>
      </c>
      <c r="E8" s="129">
        <v>1.3</v>
      </c>
      <c r="F8" s="130" t="s">
        <v>274</v>
      </c>
      <c r="G8" s="131">
        <v>0.55000000000000004</v>
      </c>
      <c r="H8" s="129" t="s">
        <v>153</v>
      </c>
      <c r="I8" s="132">
        <v>0.43</v>
      </c>
      <c r="J8" s="96"/>
      <c r="K8" s="96"/>
      <c r="L8" s="96"/>
      <c r="M8" s="96"/>
      <c r="N8" s="96"/>
      <c r="O8" s="314"/>
      <c r="P8" s="133">
        <v>0.15</v>
      </c>
    </row>
    <row r="9" spans="1:16" ht="15.75" thickBot="1" x14ac:dyDescent="0.3">
      <c r="A9" s="127" t="s">
        <v>6</v>
      </c>
      <c r="B9" s="128" t="s">
        <v>58</v>
      </c>
      <c r="C9" s="129">
        <v>0.61</v>
      </c>
      <c r="D9" s="129" t="s">
        <v>161</v>
      </c>
      <c r="E9" s="129">
        <v>1.56</v>
      </c>
      <c r="F9" s="130" t="s">
        <v>274</v>
      </c>
      <c r="G9" s="131">
        <v>0.43</v>
      </c>
      <c r="H9" s="129" t="s">
        <v>278</v>
      </c>
      <c r="I9" s="132">
        <v>0.25</v>
      </c>
      <c r="J9" s="96"/>
      <c r="K9" s="96"/>
      <c r="L9" s="96"/>
      <c r="M9" s="96"/>
      <c r="N9" s="96"/>
    </row>
    <row r="10" spans="1:16" x14ac:dyDescent="0.25">
      <c r="A10" s="127" t="s">
        <v>7</v>
      </c>
      <c r="B10" s="128" t="s">
        <v>59</v>
      </c>
      <c r="C10" s="129">
        <v>0.66</v>
      </c>
      <c r="D10" s="129" t="s">
        <v>161</v>
      </c>
      <c r="E10" s="129">
        <v>1.56</v>
      </c>
      <c r="F10" s="130" t="s">
        <v>274</v>
      </c>
      <c r="G10" s="131">
        <v>0.43</v>
      </c>
      <c r="H10" s="129" t="s">
        <v>278</v>
      </c>
      <c r="I10" s="132">
        <v>0.25</v>
      </c>
      <c r="J10" s="96"/>
      <c r="K10" s="96"/>
      <c r="L10" s="96"/>
      <c r="M10" s="96"/>
      <c r="N10" s="96"/>
      <c r="O10" s="313" t="s">
        <v>236</v>
      </c>
      <c r="P10" s="126">
        <v>0</v>
      </c>
    </row>
    <row r="11" spans="1:16" ht="15.75" thickBot="1" x14ac:dyDescent="0.3">
      <c r="A11" s="127" t="s">
        <v>8</v>
      </c>
      <c r="B11" s="128" t="s">
        <v>60</v>
      </c>
      <c r="C11" s="129">
        <v>0.47</v>
      </c>
      <c r="D11" s="129" t="s">
        <v>161</v>
      </c>
      <c r="E11" s="129">
        <v>1.56</v>
      </c>
      <c r="F11" s="130" t="s">
        <v>274</v>
      </c>
      <c r="G11" s="131">
        <v>0.43</v>
      </c>
      <c r="H11" s="129" t="s">
        <v>278</v>
      </c>
      <c r="I11" s="132">
        <v>0.25</v>
      </c>
      <c r="J11" s="96"/>
      <c r="K11" s="96"/>
      <c r="L11" s="96"/>
      <c r="M11" s="96"/>
      <c r="N11" s="96"/>
      <c r="O11" s="314"/>
      <c r="P11" s="133">
        <v>0.1</v>
      </c>
    </row>
    <row r="12" spans="1:16" x14ac:dyDescent="0.25">
      <c r="A12" s="127" t="s">
        <v>9</v>
      </c>
      <c r="B12" s="128" t="s">
        <v>61</v>
      </c>
      <c r="C12" s="129">
        <v>0.67</v>
      </c>
      <c r="D12" s="129" t="s">
        <v>161</v>
      </c>
      <c r="E12" s="129">
        <v>1.56</v>
      </c>
      <c r="F12" s="130" t="s">
        <v>274</v>
      </c>
      <c r="G12" s="131">
        <v>0.43</v>
      </c>
      <c r="H12" s="129" t="s">
        <v>152</v>
      </c>
      <c r="I12" s="132">
        <v>0.25</v>
      </c>
      <c r="J12" s="96"/>
      <c r="K12" s="96"/>
      <c r="L12" s="96"/>
      <c r="M12" s="96"/>
      <c r="N12" s="96"/>
    </row>
    <row r="13" spans="1:16" x14ac:dyDescent="0.25">
      <c r="A13" s="127" t="s">
        <v>10</v>
      </c>
      <c r="B13" s="128" t="s">
        <v>62</v>
      </c>
      <c r="C13" s="129">
        <v>0.7</v>
      </c>
      <c r="D13" s="129" t="s">
        <v>161</v>
      </c>
      <c r="E13" s="129">
        <v>1.56</v>
      </c>
      <c r="F13" s="130" t="s">
        <v>274</v>
      </c>
      <c r="G13" s="131">
        <v>0.43</v>
      </c>
      <c r="H13" s="129" t="s">
        <v>152</v>
      </c>
      <c r="I13" s="132">
        <v>0.25</v>
      </c>
      <c r="J13" s="96"/>
      <c r="K13" s="96"/>
      <c r="L13" s="96"/>
      <c r="M13" s="96"/>
      <c r="N13" s="96"/>
    </row>
    <row r="14" spans="1:16" x14ac:dyDescent="0.25">
      <c r="A14" s="127" t="s">
        <v>11</v>
      </c>
      <c r="B14" s="128" t="s">
        <v>63</v>
      </c>
      <c r="C14" s="129">
        <v>0.54</v>
      </c>
      <c r="D14" s="129" t="s">
        <v>161</v>
      </c>
      <c r="E14" s="129">
        <v>1.56</v>
      </c>
      <c r="F14" s="130" t="s">
        <v>274</v>
      </c>
      <c r="G14" s="131">
        <v>0.43</v>
      </c>
      <c r="H14" s="129" t="s">
        <v>152</v>
      </c>
      <c r="I14" s="132">
        <v>0.25</v>
      </c>
      <c r="J14" s="96"/>
      <c r="K14" s="96"/>
      <c r="L14" s="96"/>
      <c r="M14" s="96"/>
      <c r="N14" s="96"/>
    </row>
    <row r="15" spans="1:16" x14ac:dyDescent="0.25">
      <c r="A15" s="127" t="s">
        <v>12</v>
      </c>
      <c r="B15" s="128" t="s">
        <v>64</v>
      </c>
      <c r="C15" s="129">
        <v>0.65</v>
      </c>
      <c r="D15" s="129" t="s">
        <v>161</v>
      </c>
      <c r="E15" s="129">
        <v>1.56</v>
      </c>
      <c r="F15" s="130" t="s">
        <v>274</v>
      </c>
      <c r="G15" s="131">
        <v>0.43</v>
      </c>
      <c r="H15" s="129" t="s">
        <v>152</v>
      </c>
      <c r="I15" s="132">
        <v>0.25</v>
      </c>
      <c r="J15" s="96"/>
      <c r="K15" s="96"/>
      <c r="L15" s="96"/>
      <c r="M15" s="96"/>
      <c r="N15" s="96"/>
    </row>
    <row r="16" spans="1:16" x14ac:dyDescent="0.25">
      <c r="A16" s="127" t="s">
        <v>13</v>
      </c>
      <c r="B16" s="128" t="s">
        <v>65</v>
      </c>
      <c r="C16" s="129">
        <v>0.56000000000000005</v>
      </c>
      <c r="D16" s="129" t="s">
        <v>161</v>
      </c>
      <c r="E16" s="129">
        <v>1.56</v>
      </c>
      <c r="F16" s="130" t="s">
        <v>274</v>
      </c>
      <c r="G16" s="131">
        <v>0.43</v>
      </c>
      <c r="H16" s="129" t="s">
        <v>152</v>
      </c>
      <c r="I16" s="132">
        <v>0.25</v>
      </c>
      <c r="J16" s="96"/>
      <c r="K16" s="96"/>
      <c r="L16" s="96"/>
      <c r="M16" s="96"/>
      <c r="N16" s="96"/>
    </row>
    <row r="17" spans="1:14" x14ac:dyDescent="0.25">
      <c r="A17" s="127" t="s">
        <v>14</v>
      </c>
      <c r="B17" s="128" t="s">
        <v>66</v>
      </c>
      <c r="C17" s="129">
        <v>0.57999999999999996</v>
      </c>
      <c r="D17" s="129" t="s">
        <v>161</v>
      </c>
      <c r="E17" s="129">
        <v>1.56</v>
      </c>
      <c r="F17" s="130" t="s">
        <v>274</v>
      </c>
      <c r="G17" s="131">
        <v>0.43</v>
      </c>
      <c r="H17" s="129" t="s">
        <v>152</v>
      </c>
      <c r="I17" s="132">
        <v>0.25</v>
      </c>
      <c r="J17" s="96"/>
      <c r="K17" s="96"/>
      <c r="L17" s="96"/>
      <c r="M17" s="96"/>
      <c r="N17" s="96"/>
    </row>
    <row r="18" spans="1:14" x14ac:dyDescent="0.25">
      <c r="A18" s="127" t="s">
        <v>15</v>
      </c>
      <c r="B18" s="128" t="s">
        <v>67</v>
      </c>
      <c r="C18" s="129">
        <v>0.64</v>
      </c>
      <c r="D18" s="129" t="s">
        <v>161</v>
      </c>
      <c r="E18" s="129">
        <v>1.56</v>
      </c>
      <c r="F18" s="130" t="s">
        <v>274</v>
      </c>
      <c r="G18" s="131">
        <v>0.43</v>
      </c>
      <c r="H18" s="129" t="s">
        <v>152</v>
      </c>
      <c r="I18" s="132">
        <v>0.25</v>
      </c>
      <c r="J18" s="96"/>
      <c r="K18" s="96"/>
      <c r="L18" s="96"/>
      <c r="M18" s="96"/>
      <c r="N18" s="96"/>
    </row>
    <row r="19" spans="1:14" x14ac:dyDescent="0.25">
      <c r="A19" s="127" t="s">
        <v>16</v>
      </c>
      <c r="B19" s="128" t="s">
        <v>68</v>
      </c>
      <c r="C19" s="129">
        <v>0.73</v>
      </c>
      <c r="D19" s="129" t="s">
        <v>161</v>
      </c>
      <c r="E19" s="129">
        <v>1.56</v>
      </c>
      <c r="F19" s="130" t="s">
        <v>274</v>
      </c>
      <c r="G19" s="131">
        <v>0.43</v>
      </c>
      <c r="H19" s="129" t="s">
        <v>152</v>
      </c>
      <c r="I19" s="132">
        <v>0.25</v>
      </c>
      <c r="J19" s="96"/>
      <c r="K19" s="96"/>
      <c r="L19" s="96"/>
      <c r="M19" s="96"/>
      <c r="N19" s="96"/>
    </row>
    <row r="20" spans="1:14" x14ac:dyDescent="0.25">
      <c r="A20" s="127" t="s">
        <v>52</v>
      </c>
      <c r="B20" s="128" t="s">
        <v>69</v>
      </c>
      <c r="C20" s="129">
        <v>0.69</v>
      </c>
      <c r="D20" s="129" t="s">
        <v>131</v>
      </c>
      <c r="E20" s="129">
        <v>1.56</v>
      </c>
      <c r="F20" s="130" t="s">
        <v>274</v>
      </c>
      <c r="G20" s="131">
        <v>0.43</v>
      </c>
      <c r="H20" s="129" t="s">
        <v>282</v>
      </c>
      <c r="I20" s="132">
        <v>0.25</v>
      </c>
      <c r="J20" s="96"/>
      <c r="K20" s="96"/>
      <c r="L20" s="96"/>
      <c r="M20" s="96"/>
      <c r="N20" s="96"/>
    </row>
    <row r="21" spans="1:14" x14ac:dyDescent="0.25">
      <c r="A21" s="127" t="s">
        <v>154</v>
      </c>
      <c r="B21" s="128" t="s">
        <v>155</v>
      </c>
      <c r="C21" s="129">
        <v>0.36</v>
      </c>
      <c r="D21" s="129" t="s">
        <v>161</v>
      </c>
      <c r="E21" s="129">
        <v>1.3</v>
      </c>
      <c r="F21" s="130" t="s">
        <v>274</v>
      </c>
      <c r="G21" s="131">
        <v>0.55000000000000004</v>
      </c>
      <c r="H21" s="129" t="s">
        <v>153</v>
      </c>
      <c r="I21" s="132">
        <v>0.43</v>
      </c>
      <c r="J21" s="96"/>
      <c r="K21" s="96"/>
      <c r="L21" s="96"/>
      <c r="M21" s="96"/>
      <c r="N21" s="96"/>
    </row>
    <row r="22" spans="1:14" x14ac:dyDescent="0.25">
      <c r="A22" s="127" t="s">
        <v>17</v>
      </c>
      <c r="B22" s="128" t="s">
        <v>70</v>
      </c>
      <c r="C22" s="129">
        <v>0.4</v>
      </c>
      <c r="D22" s="129" t="s">
        <v>161</v>
      </c>
      <c r="E22" s="129">
        <v>1.3</v>
      </c>
      <c r="F22" s="130" t="s">
        <v>274</v>
      </c>
      <c r="G22" s="131">
        <v>0.55000000000000004</v>
      </c>
      <c r="H22" s="129" t="s">
        <v>153</v>
      </c>
      <c r="I22" s="132">
        <v>0.43</v>
      </c>
      <c r="J22" s="96"/>
      <c r="K22" s="96"/>
      <c r="L22" s="96"/>
      <c r="M22" s="96"/>
      <c r="N22" s="96"/>
    </row>
    <row r="23" spans="1:14" x14ac:dyDescent="0.25">
      <c r="A23" s="127" t="s">
        <v>18</v>
      </c>
      <c r="B23" s="128" t="s">
        <v>71</v>
      </c>
      <c r="C23" s="129">
        <v>0.43</v>
      </c>
      <c r="D23" s="129" t="s">
        <v>161</v>
      </c>
      <c r="E23" s="129">
        <v>1.3</v>
      </c>
      <c r="F23" s="130" t="s">
        <v>274</v>
      </c>
      <c r="G23" s="131">
        <v>0.55000000000000004</v>
      </c>
      <c r="H23" s="129" t="s">
        <v>153</v>
      </c>
      <c r="I23" s="132">
        <v>0.43</v>
      </c>
      <c r="J23" s="96"/>
      <c r="K23" s="96"/>
      <c r="L23" s="96"/>
      <c r="M23" s="96"/>
      <c r="N23" s="96"/>
    </row>
    <row r="24" spans="1:14" x14ac:dyDescent="0.25">
      <c r="A24" s="127" t="s">
        <v>19</v>
      </c>
      <c r="B24" s="128" t="s">
        <v>72</v>
      </c>
      <c r="C24" s="129">
        <v>0.37</v>
      </c>
      <c r="D24" s="129" t="s">
        <v>161</v>
      </c>
      <c r="E24" s="129">
        <v>1.3</v>
      </c>
      <c r="F24" s="130" t="s">
        <v>274</v>
      </c>
      <c r="G24" s="131">
        <v>0.55000000000000004</v>
      </c>
      <c r="H24" s="129" t="s">
        <v>152</v>
      </c>
      <c r="I24" s="132">
        <v>0.43</v>
      </c>
      <c r="J24" s="96"/>
      <c r="K24" s="96"/>
      <c r="L24" s="96"/>
      <c r="M24" s="96"/>
      <c r="N24" s="96"/>
    </row>
    <row r="25" spans="1:14" x14ac:dyDescent="0.25">
      <c r="A25" s="127" t="s">
        <v>20</v>
      </c>
      <c r="B25" s="128" t="s">
        <v>73</v>
      </c>
      <c r="C25" s="129">
        <v>0.36</v>
      </c>
      <c r="D25" s="129" t="s">
        <v>161</v>
      </c>
      <c r="E25" s="129">
        <v>1.3</v>
      </c>
      <c r="F25" s="130" t="s">
        <v>274</v>
      </c>
      <c r="G25" s="131">
        <v>0.55000000000000004</v>
      </c>
      <c r="H25" s="129" t="s">
        <v>152</v>
      </c>
      <c r="I25" s="132">
        <v>0.43</v>
      </c>
      <c r="J25" s="96"/>
      <c r="K25" s="96"/>
      <c r="L25" s="96"/>
      <c r="M25" s="96"/>
      <c r="N25" s="96"/>
    </row>
    <row r="26" spans="1:14" x14ac:dyDescent="0.25">
      <c r="A26" s="127" t="s">
        <v>21</v>
      </c>
      <c r="B26" s="128" t="s">
        <v>74</v>
      </c>
      <c r="C26" s="129">
        <v>0.56000000000000005</v>
      </c>
      <c r="D26" s="129" t="s">
        <v>161</v>
      </c>
      <c r="E26" s="129">
        <v>1.56</v>
      </c>
      <c r="F26" s="130" t="s">
        <v>274</v>
      </c>
      <c r="G26" s="131">
        <v>0.53</v>
      </c>
      <c r="H26" s="129" t="s">
        <v>275</v>
      </c>
      <c r="I26" s="132">
        <v>0.25</v>
      </c>
      <c r="J26" s="96"/>
      <c r="K26" s="96"/>
      <c r="L26" s="96"/>
      <c r="M26" s="96"/>
      <c r="N26" s="96"/>
    </row>
    <row r="27" spans="1:14" x14ac:dyDescent="0.25">
      <c r="A27" s="127" t="s">
        <v>22</v>
      </c>
      <c r="B27" s="128" t="s">
        <v>75</v>
      </c>
      <c r="C27" s="129">
        <v>0.51</v>
      </c>
      <c r="D27" s="129" t="s">
        <v>161</v>
      </c>
      <c r="E27" s="129">
        <v>1.56</v>
      </c>
      <c r="F27" s="130" t="s">
        <v>274</v>
      </c>
      <c r="G27" s="131">
        <v>0.53</v>
      </c>
      <c r="H27" s="129" t="s">
        <v>275</v>
      </c>
      <c r="I27" s="132">
        <v>0.25</v>
      </c>
      <c r="J27" s="96"/>
      <c r="K27" s="96"/>
      <c r="L27" s="96"/>
      <c r="M27" s="96"/>
      <c r="N27" s="96"/>
    </row>
    <row r="28" spans="1:14" x14ac:dyDescent="0.25">
      <c r="A28" s="127" t="s">
        <v>23</v>
      </c>
      <c r="B28" s="128" t="s">
        <v>76</v>
      </c>
      <c r="C28" s="129">
        <v>0.51</v>
      </c>
      <c r="D28" s="129" t="s">
        <v>161</v>
      </c>
      <c r="E28" s="129">
        <v>1.56</v>
      </c>
      <c r="F28" s="130" t="s">
        <v>274</v>
      </c>
      <c r="G28" s="131">
        <v>0.53</v>
      </c>
      <c r="H28" s="129" t="s">
        <v>275</v>
      </c>
      <c r="I28" s="132">
        <v>0.25</v>
      </c>
      <c r="J28" s="96"/>
      <c r="K28" s="96"/>
      <c r="L28" s="96"/>
      <c r="M28" s="96"/>
      <c r="N28" s="96"/>
    </row>
    <row r="29" spans="1:14" x14ac:dyDescent="0.25">
      <c r="A29" s="127" t="s">
        <v>24</v>
      </c>
      <c r="B29" s="128" t="s">
        <v>24</v>
      </c>
      <c r="C29" s="129">
        <v>0.56000000000000005</v>
      </c>
      <c r="D29" s="129" t="s">
        <v>161</v>
      </c>
      <c r="E29" s="129">
        <v>1.56</v>
      </c>
      <c r="F29" s="130" t="s">
        <v>274</v>
      </c>
      <c r="G29" s="131">
        <v>0.53</v>
      </c>
      <c r="H29" s="129" t="s">
        <v>275</v>
      </c>
      <c r="I29" s="132">
        <v>0.25</v>
      </c>
      <c r="J29" s="96"/>
      <c r="K29" s="96"/>
      <c r="L29" s="96"/>
      <c r="M29" s="96"/>
      <c r="N29" s="96"/>
    </row>
    <row r="30" spans="1:14" x14ac:dyDescent="0.25">
      <c r="A30" s="127" t="s">
        <v>25</v>
      </c>
      <c r="B30" s="128" t="s">
        <v>77</v>
      </c>
      <c r="C30" s="129">
        <v>0.55000000000000004</v>
      </c>
      <c r="D30" s="129" t="s">
        <v>161</v>
      </c>
      <c r="E30" s="129">
        <v>1.56</v>
      </c>
      <c r="F30" s="130" t="s">
        <v>274</v>
      </c>
      <c r="G30" s="131">
        <v>0.53</v>
      </c>
      <c r="H30" s="129" t="s">
        <v>152</v>
      </c>
      <c r="I30" s="132">
        <v>0.25</v>
      </c>
      <c r="J30" s="96"/>
      <c r="K30" s="96"/>
      <c r="L30" s="96"/>
      <c r="M30" s="96"/>
      <c r="N30" s="96"/>
    </row>
    <row r="31" spans="1:14" x14ac:dyDescent="0.25">
      <c r="A31" s="127" t="s">
        <v>26</v>
      </c>
      <c r="B31" s="128" t="s">
        <v>78</v>
      </c>
      <c r="C31" s="129">
        <v>0.56000000000000005</v>
      </c>
      <c r="D31" s="129" t="s">
        <v>161</v>
      </c>
      <c r="E31" s="129">
        <v>1.56</v>
      </c>
      <c r="F31" s="130" t="s">
        <v>274</v>
      </c>
      <c r="G31" s="131">
        <v>0.43</v>
      </c>
      <c r="H31" s="129" t="s">
        <v>278</v>
      </c>
      <c r="I31" s="132">
        <v>0.25</v>
      </c>
      <c r="J31" s="96"/>
      <c r="K31" s="96"/>
      <c r="L31" s="96"/>
      <c r="M31" s="96"/>
      <c r="N31" s="96"/>
    </row>
    <row r="32" spans="1:14" x14ac:dyDescent="0.25">
      <c r="A32" s="127" t="s">
        <v>27</v>
      </c>
      <c r="B32" s="128" t="s">
        <v>79</v>
      </c>
      <c r="C32" s="129">
        <v>0.48</v>
      </c>
      <c r="D32" s="129" t="s">
        <v>161</v>
      </c>
      <c r="E32" s="129">
        <v>1.3</v>
      </c>
      <c r="F32" s="130" t="s">
        <v>274</v>
      </c>
      <c r="G32" s="131">
        <v>0.6</v>
      </c>
      <c r="H32" s="129" t="s">
        <v>281</v>
      </c>
      <c r="I32" s="132">
        <v>0.43</v>
      </c>
      <c r="J32" s="96"/>
      <c r="K32" s="96"/>
      <c r="L32" s="96"/>
      <c r="M32" s="96"/>
      <c r="N32" s="96"/>
    </row>
    <row r="33" spans="1:14" x14ac:dyDescent="0.25">
      <c r="A33" s="127" t="s">
        <v>28</v>
      </c>
      <c r="B33" s="128" t="s">
        <v>80</v>
      </c>
      <c r="C33" s="129">
        <v>0.42</v>
      </c>
      <c r="D33" s="129" t="s">
        <v>161</v>
      </c>
      <c r="E33" s="129">
        <v>1.3</v>
      </c>
      <c r="F33" s="130" t="s">
        <v>274</v>
      </c>
      <c r="G33" s="131">
        <v>0.6</v>
      </c>
      <c r="H33" s="129" t="s">
        <v>281</v>
      </c>
      <c r="I33" s="132">
        <v>0.43</v>
      </c>
      <c r="J33" s="96"/>
      <c r="K33" s="96"/>
      <c r="L33" s="96"/>
      <c r="M33" s="96"/>
      <c r="N33" s="96"/>
    </row>
    <row r="34" spans="1:14" x14ac:dyDescent="0.25">
      <c r="A34" s="127" t="s">
        <v>81</v>
      </c>
      <c r="B34" s="128" t="s">
        <v>163</v>
      </c>
      <c r="C34" s="129">
        <v>0.42</v>
      </c>
      <c r="D34" s="129" t="s">
        <v>103</v>
      </c>
      <c r="E34" s="129">
        <v>1.3</v>
      </c>
      <c r="F34" s="130" t="s">
        <v>274</v>
      </c>
      <c r="G34" s="131">
        <v>0.6</v>
      </c>
      <c r="H34" s="128" t="s">
        <v>280</v>
      </c>
      <c r="I34" s="132">
        <v>0.43</v>
      </c>
      <c r="J34" s="96"/>
      <c r="K34" s="96"/>
      <c r="L34" s="96"/>
      <c r="M34" s="96"/>
      <c r="N34" s="96"/>
    </row>
    <row r="35" spans="1:14" x14ac:dyDescent="0.25">
      <c r="A35" s="127" t="s">
        <v>29</v>
      </c>
      <c r="B35" s="128" t="s">
        <v>82</v>
      </c>
      <c r="C35" s="129">
        <v>0.5</v>
      </c>
      <c r="D35" s="129" t="s">
        <v>161</v>
      </c>
      <c r="E35" s="129">
        <v>1.56</v>
      </c>
      <c r="F35" s="130" t="s">
        <v>274</v>
      </c>
      <c r="G35" s="131">
        <v>0.43</v>
      </c>
      <c r="H35" s="129" t="s">
        <v>278</v>
      </c>
      <c r="I35" s="132">
        <v>0.25</v>
      </c>
      <c r="J35" s="96"/>
      <c r="K35" s="96"/>
      <c r="L35" s="96"/>
      <c r="M35" s="96"/>
      <c r="N35" s="96"/>
    </row>
    <row r="36" spans="1:14" x14ac:dyDescent="0.25">
      <c r="A36" s="127" t="s">
        <v>102</v>
      </c>
      <c r="B36" s="128" t="s">
        <v>101</v>
      </c>
      <c r="C36" s="129">
        <v>0.55000000000000004</v>
      </c>
      <c r="D36" s="129" t="s">
        <v>161</v>
      </c>
      <c r="E36" s="129">
        <v>1.56</v>
      </c>
      <c r="F36" s="130" t="s">
        <v>274</v>
      </c>
      <c r="G36" s="131">
        <v>0.53</v>
      </c>
      <c r="H36" s="129" t="s">
        <v>275</v>
      </c>
      <c r="I36" s="132">
        <v>0.25</v>
      </c>
      <c r="J36" s="96"/>
      <c r="K36" s="96"/>
      <c r="L36" s="96"/>
      <c r="M36" s="96"/>
      <c r="N36" s="96"/>
    </row>
    <row r="37" spans="1:14" x14ac:dyDescent="0.25">
      <c r="A37" s="127" t="s">
        <v>30</v>
      </c>
      <c r="B37" s="128" t="s">
        <v>104</v>
      </c>
      <c r="C37" s="129">
        <v>0.52</v>
      </c>
      <c r="D37" s="129" t="s">
        <v>161</v>
      </c>
      <c r="E37" s="129">
        <v>1.56</v>
      </c>
      <c r="F37" s="130" t="s">
        <v>274</v>
      </c>
      <c r="G37" s="131">
        <v>0.53</v>
      </c>
      <c r="H37" s="129" t="s">
        <v>275</v>
      </c>
      <c r="I37" s="132">
        <v>0.25</v>
      </c>
      <c r="J37" s="96"/>
      <c r="K37" s="96"/>
      <c r="L37" s="96"/>
      <c r="M37" s="96"/>
      <c r="N37" s="96"/>
    </row>
    <row r="38" spans="1:14" x14ac:dyDescent="0.25">
      <c r="A38" s="127" t="s">
        <v>31</v>
      </c>
      <c r="B38" s="128" t="s">
        <v>105</v>
      </c>
      <c r="C38" s="129">
        <v>0.52</v>
      </c>
      <c r="D38" s="129" t="s">
        <v>161</v>
      </c>
      <c r="E38" s="129">
        <v>1.56</v>
      </c>
      <c r="F38" s="130" t="s">
        <v>274</v>
      </c>
      <c r="G38" s="131">
        <v>0.43</v>
      </c>
      <c r="H38" s="129" t="s">
        <v>278</v>
      </c>
      <c r="I38" s="132">
        <v>0.25</v>
      </c>
      <c r="J38" s="96"/>
      <c r="K38" s="96"/>
      <c r="L38" s="96"/>
      <c r="M38" s="96"/>
      <c r="N38" s="96"/>
    </row>
    <row r="39" spans="1:14" x14ac:dyDescent="0.25">
      <c r="A39" s="127" t="s">
        <v>107</v>
      </c>
      <c r="B39" s="128" t="s">
        <v>132</v>
      </c>
      <c r="C39" s="129">
        <v>0.313</v>
      </c>
      <c r="D39" s="129" t="s">
        <v>130</v>
      </c>
      <c r="E39" s="129">
        <v>1.56</v>
      </c>
      <c r="F39" s="130" t="s">
        <v>274</v>
      </c>
      <c r="G39" s="131">
        <v>0.6</v>
      </c>
      <c r="H39" s="129" t="s">
        <v>283</v>
      </c>
      <c r="I39" s="132">
        <v>1.03</v>
      </c>
      <c r="J39" s="96"/>
      <c r="K39" s="96"/>
      <c r="L39" s="96"/>
      <c r="M39" s="96"/>
      <c r="N39" s="96"/>
    </row>
    <row r="40" spans="1:14" x14ac:dyDescent="0.25">
      <c r="A40" s="127" t="s">
        <v>108</v>
      </c>
      <c r="B40" s="128" t="s">
        <v>132</v>
      </c>
      <c r="C40" s="129">
        <v>0.35199999999999998</v>
      </c>
      <c r="D40" s="129" t="s">
        <v>130</v>
      </c>
      <c r="E40" s="129">
        <v>1.56</v>
      </c>
      <c r="F40" s="130" t="s">
        <v>274</v>
      </c>
      <c r="G40" s="131">
        <v>0.6</v>
      </c>
      <c r="H40" s="129" t="s">
        <v>283</v>
      </c>
      <c r="I40" s="132">
        <v>1.03</v>
      </c>
      <c r="J40" s="96"/>
      <c r="K40" s="96"/>
      <c r="L40" s="96"/>
      <c r="M40" s="96"/>
      <c r="N40" s="96"/>
    </row>
    <row r="41" spans="1:14" x14ac:dyDescent="0.25">
      <c r="A41" s="127" t="s">
        <v>121</v>
      </c>
      <c r="B41" s="128" t="s">
        <v>132</v>
      </c>
      <c r="C41" s="129">
        <v>0.32200000000000001</v>
      </c>
      <c r="D41" s="129" t="s">
        <v>130</v>
      </c>
      <c r="E41" s="129">
        <v>1.56</v>
      </c>
      <c r="F41" s="130" t="s">
        <v>274</v>
      </c>
      <c r="G41" s="131">
        <v>0.6</v>
      </c>
      <c r="H41" s="129" t="s">
        <v>283</v>
      </c>
      <c r="I41" s="132">
        <v>1.03</v>
      </c>
      <c r="J41" s="96"/>
      <c r="K41" s="96"/>
      <c r="L41" s="96"/>
      <c r="M41" s="96"/>
      <c r="N41" s="96"/>
    </row>
    <row r="42" spans="1:14" x14ac:dyDescent="0.25">
      <c r="A42" s="127" t="s">
        <v>122</v>
      </c>
      <c r="B42" s="128" t="s">
        <v>132</v>
      </c>
      <c r="C42" s="129">
        <v>0.311</v>
      </c>
      <c r="D42" s="129" t="s">
        <v>130</v>
      </c>
      <c r="E42" s="129">
        <v>1.56</v>
      </c>
      <c r="F42" s="130" t="s">
        <v>274</v>
      </c>
      <c r="G42" s="131">
        <v>0.6</v>
      </c>
      <c r="H42" s="129" t="s">
        <v>283</v>
      </c>
      <c r="I42" s="132">
        <v>1.03</v>
      </c>
      <c r="J42" s="96"/>
      <c r="K42" s="96"/>
      <c r="L42" s="96"/>
      <c r="M42" s="96"/>
      <c r="N42" s="96"/>
    </row>
    <row r="43" spans="1:14" x14ac:dyDescent="0.25">
      <c r="A43" s="127" t="s">
        <v>109</v>
      </c>
      <c r="B43" s="128" t="s">
        <v>132</v>
      </c>
      <c r="C43" s="129">
        <v>0.33900000000000002</v>
      </c>
      <c r="D43" s="129" t="s">
        <v>130</v>
      </c>
      <c r="E43" s="129">
        <v>1.56</v>
      </c>
      <c r="F43" s="130" t="s">
        <v>274</v>
      </c>
      <c r="G43" s="131">
        <v>0.6</v>
      </c>
      <c r="H43" s="129" t="s">
        <v>283</v>
      </c>
      <c r="I43" s="132">
        <v>1.03</v>
      </c>
      <c r="J43" s="96"/>
      <c r="K43" s="96"/>
      <c r="L43" s="96"/>
      <c r="M43" s="96"/>
      <c r="N43" s="96"/>
    </row>
    <row r="44" spans="1:14" x14ac:dyDescent="0.25">
      <c r="A44" s="127" t="s">
        <v>123</v>
      </c>
      <c r="B44" s="128" t="s">
        <v>132</v>
      </c>
      <c r="C44" s="129">
        <v>0.33600000000000002</v>
      </c>
      <c r="D44" s="129" t="s">
        <v>130</v>
      </c>
      <c r="E44" s="129">
        <v>1.56</v>
      </c>
      <c r="F44" s="130" t="s">
        <v>274</v>
      </c>
      <c r="G44" s="131">
        <v>0.6</v>
      </c>
      <c r="H44" s="129" t="s">
        <v>283</v>
      </c>
      <c r="I44" s="132">
        <v>1.03</v>
      </c>
      <c r="J44" s="96"/>
      <c r="K44" s="96"/>
      <c r="L44" s="96"/>
      <c r="M44" s="96"/>
      <c r="N44" s="96"/>
    </row>
    <row r="45" spans="1:14" x14ac:dyDescent="0.25">
      <c r="A45" s="127" t="s">
        <v>110</v>
      </c>
      <c r="B45" s="128" t="s">
        <v>132</v>
      </c>
      <c r="C45" s="129">
        <v>0.32900000000000001</v>
      </c>
      <c r="D45" s="129" t="s">
        <v>130</v>
      </c>
      <c r="E45" s="129">
        <v>1.56</v>
      </c>
      <c r="F45" s="130" t="s">
        <v>274</v>
      </c>
      <c r="G45" s="131">
        <v>0.6</v>
      </c>
      <c r="H45" s="129" t="s">
        <v>283</v>
      </c>
      <c r="I45" s="132">
        <v>1.03</v>
      </c>
      <c r="J45" s="96"/>
      <c r="K45" s="96"/>
      <c r="L45" s="96"/>
      <c r="M45" s="96"/>
      <c r="N45" s="96"/>
    </row>
    <row r="46" spans="1:14" x14ac:dyDescent="0.25">
      <c r="A46" s="127" t="s">
        <v>124</v>
      </c>
      <c r="B46" s="128" t="s">
        <v>132</v>
      </c>
      <c r="C46" s="129">
        <v>0.34300000000000003</v>
      </c>
      <c r="D46" s="129" t="s">
        <v>130</v>
      </c>
      <c r="E46" s="129">
        <v>1.56</v>
      </c>
      <c r="F46" s="130" t="s">
        <v>274</v>
      </c>
      <c r="G46" s="131">
        <v>0.6</v>
      </c>
      <c r="H46" s="129" t="s">
        <v>283</v>
      </c>
      <c r="I46" s="132">
        <v>1.03</v>
      </c>
      <c r="J46" s="96"/>
      <c r="K46" s="96"/>
      <c r="L46" s="96"/>
      <c r="M46" s="96"/>
      <c r="N46" s="96"/>
    </row>
    <row r="47" spans="1:14" x14ac:dyDescent="0.25">
      <c r="A47" s="127" t="s">
        <v>125</v>
      </c>
      <c r="B47" s="128" t="s">
        <v>132</v>
      </c>
      <c r="C47" s="129">
        <v>0.32500000000000001</v>
      </c>
      <c r="D47" s="129" t="s">
        <v>130</v>
      </c>
      <c r="E47" s="129">
        <v>1.56</v>
      </c>
      <c r="F47" s="130" t="s">
        <v>274</v>
      </c>
      <c r="G47" s="131">
        <v>0.6</v>
      </c>
      <c r="H47" s="129" t="s">
        <v>283</v>
      </c>
      <c r="I47" s="132">
        <v>1.03</v>
      </c>
      <c r="J47" s="96"/>
      <c r="K47" s="96"/>
      <c r="L47" s="96"/>
      <c r="M47" s="96"/>
      <c r="N47" s="96"/>
    </row>
    <row r="48" spans="1:14" x14ac:dyDescent="0.25">
      <c r="A48" s="127" t="s">
        <v>126</v>
      </c>
      <c r="B48" s="128" t="s">
        <v>132</v>
      </c>
      <c r="C48" s="129">
        <v>0.32</v>
      </c>
      <c r="D48" s="129" t="s">
        <v>130</v>
      </c>
      <c r="E48" s="129">
        <v>1.56</v>
      </c>
      <c r="F48" s="130" t="s">
        <v>274</v>
      </c>
      <c r="G48" s="131">
        <v>0.6</v>
      </c>
      <c r="H48" s="129" t="s">
        <v>283</v>
      </c>
      <c r="I48" s="132">
        <v>1.03</v>
      </c>
      <c r="J48" s="96"/>
      <c r="K48" s="96"/>
      <c r="L48" s="96"/>
      <c r="M48" s="96"/>
      <c r="N48" s="96"/>
    </row>
    <row r="49" spans="1:14" x14ac:dyDescent="0.25">
      <c r="A49" s="127" t="s">
        <v>111</v>
      </c>
      <c r="B49" s="128" t="s">
        <v>132</v>
      </c>
      <c r="C49" s="129">
        <v>0.28199999999999997</v>
      </c>
      <c r="D49" s="129" t="s">
        <v>130</v>
      </c>
      <c r="E49" s="129">
        <v>1.56</v>
      </c>
      <c r="F49" s="130" t="s">
        <v>274</v>
      </c>
      <c r="G49" s="131">
        <v>0.6</v>
      </c>
      <c r="H49" s="129" t="s">
        <v>283</v>
      </c>
      <c r="I49" s="132">
        <v>1.03</v>
      </c>
      <c r="J49" s="96"/>
      <c r="K49" s="96"/>
      <c r="L49" s="96"/>
      <c r="M49" s="96"/>
      <c r="N49" s="96"/>
    </row>
    <row r="50" spans="1:14" x14ac:dyDescent="0.25">
      <c r="A50" s="127" t="s">
        <v>127</v>
      </c>
      <c r="B50" s="128" t="s">
        <v>132</v>
      </c>
      <c r="C50" s="129">
        <v>0.32800000000000001</v>
      </c>
      <c r="D50" s="129" t="s">
        <v>130</v>
      </c>
      <c r="E50" s="129">
        <v>1.56</v>
      </c>
      <c r="F50" s="130" t="s">
        <v>274</v>
      </c>
      <c r="G50" s="131">
        <v>0.6</v>
      </c>
      <c r="H50" s="129" t="s">
        <v>283</v>
      </c>
      <c r="I50" s="132">
        <v>1.03</v>
      </c>
      <c r="J50" s="96"/>
      <c r="K50" s="96"/>
      <c r="L50" s="96"/>
      <c r="M50" s="96"/>
      <c r="N50" s="96"/>
    </row>
    <row r="51" spans="1:14" x14ac:dyDescent="0.25">
      <c r="A51" s="127" t="s">
        <v>112</v>
      </c>
      <c r="B51" s="128" t="s">
        <v>132</v>
      </c>
      <c r="C51" s="129">
        <v>0.32600000000000001</v>
      </c>
      <c r="D51" s="129" t="s">
        <v>130</v>
      </c>
      <c r="E51" s="129">
        <v>1.56</v>
      </c>
      <c r="F51" s="130" t="s">
        <v>274</v>
      </c>
      <c r="G51" s="131">
        <v>0.6</v>
      </c>
      <c r="H51" s="129" t="s">
        <v>283</v>
      </c>
      <c r="I51" s="132">
        <v>1.03</v>
      </c>
      <c r="J51" s="96"/>
      <c r="K51" s="96"/>
      <c r="L51" s="96"/>
      <c r="M51" s="96"/>
      <c r="N51" s="96"/>
    </row>
    <row r="52" spans="1:14" x14ac:dyDescent="0.25">
      <c r="A52" s="127" t="s">
        <v>113</v>
      </c>
      <c r="B52" s="128" t="s">
        <v>132</v>
      </c>
      <c r="C52" s="129">
        <v>0.35899999999999999</v>
      </c>
      <c r="D52" s="129" t="s">
        <v>130</v>
      </c>
      <c r="E52" s="129">
        <v>1.56</v>
      </c>
      <c r="F52" s="130" t="s">
        <v>274</v>
      </c>
      <c r="G52" s="131">
        <v>0.6</v>
      </c>
      <c r="H52" s="129" t="s">
        <v>283</v>
      </c>
      <c r="I52" s="132">
        <v>1.03</v>
      </c>
      <c r="J52" s="96"/>
      <c r="K52" s="96"/>
      <c r="L52" s="96"/>
      <c r="M52" s="96"/>
      <c r="N52" s="96"/>
    </row>
    <row r="53" spans="1:14" x14ac:dyDescent="0.25">
      <c r="A53" s="127" t="s">
        <v>114</v>
      </c>
      <c r="B53" s="128" t="s">
        <v>132</v>
      </c>
      <c r="C53" s="129">
        <v>0.34599999999999997</v>
      </c>
      <c r="D53" s="129" t="s">
        <v>130</v>
      </c>
      <c r="E53" s="129">
        <v>1.56</v>
      </c>
      <c r="F53" s="130" t="s">
        <v>274</v>
      </c>
      <c r="G53" s="131">
        <v>0.6</v>
      </c>
      <c r="H53" s="129" t="s">
        <v>283</v>
      </c>
      <c r="I53" s="132">
        <v>1.03</v>
      </c>
      <c r="J53" s="96"/>
      <c r="K53" s="96"/>
      <c r="L53" s="96"/>
      <c r="M53" s="96"/>
      <c r="N53" s="96"/>
    </row>
    <row r="54" spans="1:14" x14ac:dyDescent="0.25">
      <c r="A54" s="127" t="s">
        <v>115</v>
      </c>
      <c r="B54" s="128" t="s">
        <v>132</v>
      </c>
      <c r="C54" s="129">
        <v>0.32600000000000001</v>
      </c>
      <c r="D54" s="129" t="s">
        <v>130</v>
      </c>
      <c r="E54" s="129">
        <v>1.56</v>
      </c>
      <c r="F54" s="130" t="s">
        <v>274</v>
      </c>
      <c r="G54" s="131">
        <v>0.6</v>
      </c>
      <c r="H54" s="129" t="s">
        <v>283</v>
      </c>
      <c r="I54" s="132">
        <v>1.03</v>
      </c>
      <c r="J54" s="96"/>
      <c r="K54" s="96"/>
      <c r="L54" s="96"/>
      <c r="M54" s="96"/>
      <c r="N54" s="96"/>
    </row>
    <row r="55" spans="1:14" x14ac:dyDescent="0.25">
      <c r="A55" s="127" t="s">
        <v>116</v>
      </c>
      <c r="B55" s="128" t="s">
        <v>132</v>
      </c>
      <c r="C55" s="129">
        <v>0.30499999999999999</v>
      </c>
      <c r="D55" s="129" t="s">
        <v>130</v>
      </c>
      <c r="E55" s="129">
        <v>1.56</v>
      </c>
      <c r="F55" s="130" t="s">
        <v>274</v>
      </c>
      <c r="G55" s="131">
        <v>0.6</v>
      </c>
      <c r="H55" s="129" t="s">
        <v>283</v>
      </c>
      <c r="I55" s="132">
        <v>1.03</v>
      </c>
      <c r="J55" s="96"/>
      <c r="K55" s="96"/>
      <c r="L55" s="96"/>
      <c r="M55" s="96"/>
      <c r="N55" s="96"/>
    </row>
    <row r="56" spans="1:14" x14ac:dyDescent="0.25">
      <c r="A56" s="127" t="s">
        <v>128</v>
      </c>
      <c r="B56" s="128" t="s">
        <v>132</v>
      </c>
      <c r="C56" s="129">
        <v>0.32300000000000001</v>
      </c>
      <c r="D56" s="129" t="s">
        <v>130</v>
      </c>
      <c r="E56" s="129">
        <v>1.56</v>
      </c>
      <c r="F56" s="130" t="s">
        <v>274</v>
      </c>
      <c r="G56" s="131">
        <v>0.6</v>
      </c>
      <c r="H56" s="129" t="s">
        <v>283</v>
      </c>
      <c r="I56" s="132">
        <v>1.03</v>
      </c>
      <c r="J56" s="96"/>
      <c r="K56" s="96"/>
      <c r="L56" s="96"/>
      <c r="M56" s="96"/>
      <c r="N56" s="96"/>
    </row>
    <row r="57" spans="1:14" x14ac:dyDescent="0.25">
      <c r="A57" s="127" t="s">
        <v>129</v>
      </c>
      <c r="B57" s="128" t="s">
        <v>132</v>
      </c>
      <c r="C57" s="129">
        <v>0.36699999999999999</v>
      </c>
      <c r="D57" s="129" t="s">
        <v>130</v>
      </c>
      <c r="E57" s="129">
        <v>1.56</v>
      </c>
      <c r="F57" s="130" t="s">
        <v>274</v>
      </c>
      <c r="G57" s="131">
        <v>0.6</v>
      </c>
      <c r="H57" s="129" t="s">
        <v>283</v>
      </c>
      <c r="I57" s="132">
        <v>1.03</v>
      </c>
      <c r="J57" s="96"/>
      <c r="K57" s="96"/>
      <c r="L57" s="96"/>
      <c r="M57" s="96"/>
      <c r="N57" s="96"/>
    </row>
    <row r="58" spans="1:14" x14ac:dyDescent="0.25">
      <c r="A58" s="127" t="s">
        <v>117</v>
      </c>
      <c r="B58" s="128" t="s">
        <v>132</v>
      </c>
      <c r="C58" s="129">
        <v>0.36</v>
      </c>
      <c r="D58" s="129" t="s">
        <v>130</v>
      </c>
      <c r="E58" s="129">
        <v>1.56</v>
      </c>
      <c r="F58" s="130" t="s">
        <v>274</v>
      </c>
      <c r="G58" s="131">
        <v>0.6</v>
      </c>
      <c r="H58" s="129" t="s">
        <v>283</v>
      </c>
      <c r="I58" s="132">
        <v>1.03</v>
      </c>
      <c r="J58" s="96"/>
      <c r="K58" s="96"/>
      <c r="L58" s="96"/>
      <c r="M58" s="96"/>
      <c r="N58" s="96"/>
    </row>
    <row r="59" spans="1:14" x14ac:dyDescent="0.25">
      <c r="A59" s="127" t="s">
        <v>118</v>
      </c>
      <c r="B59" s="128" t="s">
        <v>132</v>
      </c>
      <c r="C59" s="129">
        <v>0.36799999999999999</v>
      </c>
      <c r="D59" s="129" t="s">
        <v>130</v>
      </c>
      <c r="E59" s="129">
        <v>1.56</v>
      </c>
      <c r="F59" s="130" t="s">
        <v>274</v>
      </c>
      <c r="G59" s="131">
        <v>0.6</v>
      </c>
      <c r="H59" s="129" t="s">
        <v>283</v>
      </c>
      <c r="I59" s="132">
        <v>1.03</v>
      </c>
      <c r="J59" s="96"/>
      <c r="K59" s="96"/>
      <c r="L59" s="96"/>
      <c r="M59" s="96"/>
      <c r="N59" s="96"/>
    </row>
    <row r="60" spans="1:14" x14ac:dyDescent="0.25">
      <c r="A60" s="127" t="s">
        <v>119</v>
      </c>
      <c r="B60" s="128" t="s">
        <v>132</v>
      </c>
      <c r="C60" s="129">
        <v>0.30599999999999999</v>
      </c>
      <c r="D60" s="129" t="s">
        <v>130</v>
      </c>
      <c r="E60" s="129">
        <v>1.56</v>
      </c>
      <c r="F60" s="130" t="s">
        <v>274</v>
      </c>
      <c r="G60" s="131">
        <v>0.6</v>
      </c>
      <c r="H60" s="129" t="s">
        <v>283</v>
      </c>
      <c r="I60" s="132">
        <v>1.03</v>
      </c>
      <c r="J60" s="96"/>
      <c r="K60" s="96"/>
      <c r="L60" s="96"/>
      <c r="M60" s="96"/>
      <c r="N60" s="96"/>
    </row>
    <row r="61" spans="1:14" x14ac:dyDescent="0.25">
      <c r="A61" s="127" t="s">
        <v>120</v>
      </c>
      <c r="B61" s="128" t="s">
        <v>132</v>
      </c>
      <c r="C61" s="129">
        <v>0.313</v>
      </c>
      <c r="D61" s="129" t="s">
        <v>130</v>
      </c>
      <c r="E61" s="129">
        <v>1.56</v>
      </c>
      <c r="F61" s="130" t="s">
        <v>274</v>
      </c>
      <c r="G61" s="131">
        <v>0.6</v>
      </c>
      <c r="H61" s="129" t="s">
        <v>283</v>
      </c>
      <c r="I61" s="132">
        <v>1.03</v>
      </c>
      <c r="J61" s="96"/>
      <c r="K61" s="96"/>
      <c r="L61" s="96"/>
      <c r="M61" s="96"/>
      <c r="N61" s="96"/>
    </row>
    <row r="62" spans="1:14" x14ac:dyDescent="0.25">
      <c r="A62" s="127" t="s">
        <v>32</v>
      </c>
      <c r="B62" s="128" t="s">
        <v>133</v>
      </c>
      <c r="C62" s="129">
        <v>0.37</v>
      </c>
      <c r="D62" s="129" t="s">
        <v>161</v>
      </c>
      <c r="E62" s="129">
        <v>1.56</v>
      </c>
      <c r="F62" s="130" t="s">
        <v>274</v>
      </c>
      <c r="G62" s="131">
        <v>0.6</v>
      </c>
      <c r="H62" s="129" t="s">
        <v>283</v>
      </c>
      <c r="I62" s="132">
        <v>1.03</v>
      </c>
      <c r="J62" s="96"/>
      <c r="K62" s="96"/>
      <c r="L62" s="96"/>
      <c r="M62" s="96"/>
      <c r="N62" s="96"/>
    </row>
    <row r="63" spans="1:14" x14ac:dyDescent="0.25">
      <c r="A63" s="127" t="s">
        <v>90</v>
      </c>
      <c r="B63" s="128" t="s">
        <v>83</v>
      </c>
      <c r="C63" s="129">
        <v>0.45</v>
      </c>
      <c r="D63" s="129" t="s">
        <v>161</v>
      </c>
      <c r="E63" s="129">
        <v>1.3</v>
      </c>
      <c r="F63" s="130" t="s">
        <v>274</v>
      </c>
      <c r="G63" s="131">
        <v>0.45</v>
      </c>
      <c r="H63" s="129" t="s">
        <v>276</v>
      </c>
      <c r="I63" s="132">
        <v>0.43</v>
      </c>
      <c r="J63" s="96"/>
      <c r="K63" s="96"/>
      <c r="L63" s="96"/>
      <c r="M63" s="96"/>
      <c r="N63" s="96"/>
    </row>
    <row r="64" spans="1:14" x14ac:dyDescent="0.25">
      <c r="A64" s="127" t="s">
        <v>33</v>
      </c>
      <c r="B64" s="128" t="s">
        <v>134</v>
      </c>
      <c r="C64" s="129">
        <v>0.39</v>
      </c>
      <c r="D64" s="129" t="s">
        <v>161</v>
      </c>
      <c r="E64" s="129">
        <v>1.3</v>
      </c>
      <c r="F64" s="130" t="s">
        <v>274</v>
      </c>
      <c r="G64" s="131">
        <v>0.45</v>
      </c>
      <c r="H64" s="129" t="s">
        <v>276</v>
      </c>
      <c r="I64" s="132">
        <v>0.43</v>
      </c>
      <c r="J64" s="96"/>
      <c r="K64" s="96"/>
      <c r="L64" s="96"/>
      <c r="M64" s="96"/>
      <c r="N64" s="96"/>
    </row>
    <row r="65" spans="1:14" x14ac:dyDescent="0.25">
      <c r="A65" s="127" t="s">
        <v>34</v>
      </c>
      <c r="B65" s="128" t="s">
        <v>135</v>
      </c>
      <c r="C65" s="129">
        <v>0.44</v>
      </c>
      <c r="D65" s="129" t="s">
        <v>161</v>
      </c>
      <c r="E65" s="129">
        <v>1.3</v>
      </c>
      <c r="F65" s="130" t="s">
        <v>274</v>
      </c>
      <c r="G65" s="131">
        <v>0.45</v>
      </c>
      <c r="H65" s="129" t="s">
        <v>276</v>
      </c>
      <c r="I65" s="132">
        <v>0.43</v>
      </c>
      <c r="J65" s="96"/>
      <c r="K65" s="96"/>
      <c r="L65" s="96"/>
      <c r="M65" s="96"/>
      <c r="N65" s="96"/>
    </row>
    <row r="66" spans="1:14" x14ac:dyDescent="0.25">
      <c r="A66" s="127" t="s">
        <v>35</v>
      </c>
      <c r="B66" s="128" t="s">
        <v>84</v>
      </c>
      <c r="C66" s="129">
        <v>0.46</v>
      </c>
      <c r="D66" s="129" t="s">
        <v>161</v>
      </c>
      <c r="E66" s="129">
        <v>1.3</v>
      </c>
      <c r="F66" s="130" t="s">
        <v>274</v>
      </c>
      <c r="G66" s="131">
        <v>0.45</v>
      </c>
      <c r="H66" s="129" t="s">
        <v>276</v>
      </c>
      <c r="I66" s="132">
        <v>0.43</v>
      </c>
      <c r="J66" s="96"/>
      <c r="K66" s="96"/>
      <c r="L66" s="96"/>
      <c r="M66" s="96"/>
      <c r="N66" s="96"/>
    </row>
    <row r="67" spans="1:14" x14ac:dyDescent="0.25">
      <c r="A67" s="127" t="s">
        <v>36</v>
      </c>
      <c r="B67" s="128" t="s">
        <v>85</v>
      </c>
      <c r="C67" s="129">
        <v>0.46</v>
      </c>
      <c r="D67" s="129" t="s">
        <v>161</v>
      </c>
      <c r="E67" s="129">
        <v>1.3</v>
      </c>
      <c r="F67" s="130" t="s">
        <v>274</v>
      </c>
      <c r="G67" s="131">
        <v>0.45</v>
      </c>
      <c r="H67" s="129" t="s">
        <v>152</v>
      </c>
      <c r="I67" s="132">
        <v>0.59</v>
      </c>
      <c r="J67" s="96"/>
      <c r="K67" s="96"/>
      <c r="L67" s="96"/>
      <c r="M67" s="96"/>
      <c r="N67" s="96"/>
    </row>
    <row r="68" spans="1:14" x14ac:dyDescent="0.25">
      <c r="A68" s="127" t="s">
        <v>37</v>
      </c>
      <c r="B68" s="128" t="s">
        <v>136</v>
      </c>
      <c r="C68" s="129">
        <v>0.44</v>
      </c>
      <c r="D68" s="129" t="s">
        <v>161</v>
      </c>
      <c r="E68" s="129">
        <v>1.3</v>
      </c>
      <c r="F68" s="130" t="s">
        <v>274</v>
      </c>
      <c r="G68" s="131">
        <v>0.45</v>
      </c>
      <c r="H68" s="129" t="s">
        <v>276</v>
      </c>
      <c r="I68" s="132">
        <v>0.43</v>
      </c>
      <c r="J68" s="96"/>
      <c r="K68" s="96"/>
      <c r="L68" s="96"/>
      <c r="M68" s="96"/>
      <c r="N68" s="96"/>
    </row>
    <row r="69" spans="1:14" x14ac:dyDescent="0.25">
      <c r="A69" s="127" t="s">
        <v>38</v>
      </c>
      <c r="B69" s="128" t="s">
        <v>86</v>
      </c>
      <c r="C69" s="129">
        <v>0.46</v>
      </c>
      <c r="D69" s="129" t="s">
        <v>161</v>
      </c>
      <c r="E69" s="129">
        <v>1.3</v>
      </c>
      <c r="F69" s="130" t="s">
        <v>274</v>
      </c>
      <c r="G69" s="131">
        <v>0.45</v>
      </c>
      <c r="H69" s="129" t="s">
        <v>276</v>
      </c>
      <c r="I69" s="132">
        <v>0.43</v>
      </c>
      <c r="J69" s="96"/>
      <c r="K69" s="96"/>
      <c r="L69" s="96"/>
      <c r="M69" s="96"/>
      <c r="N69" s="96"/>
    </row>
    <row r="70" spans="1:14" x14ac:dyDescent="0.25">
      <c r="A70" s="127" t="s">
        <v>39</v>
      </c>
      <c r="B70" s="128" t="s">
        <v>137</v>
      </c>
      <c r="C70" s="129">
        <v>0.48</v>
      </c>
      <c r="D70" s="129" t="s">
        <v>161</v>
      </c>
      <c r="E70" s="129">
        <v>2.4</v>
      </c>
      <c r="F70" s="129" t="s">
        <v>284</v>
      </c>
      <c r="G70" s="131">
        <v>0.45</v>
      </c>
      <c r="H70" s="129" t="s">
        <v>276</v>
      </c>
      <c r="I70" s="132">
        <v>0.43</v>
      </c>
      <c r="J70" s="96"/>
      <c r="K70" s="96"/>
      <c r="L70" s="96"/>
      <c r="M70" s="96"/>
      <c r="N70" s="96"/>
    </row>
    <row r="71" spans="1:14" x14ac:dyDescent="0.25">
      <c r="A71" s="127" t="s">
        <v>40</v>
      </c>
      <c r="B71" s="128" t="s">
        <v>87</v>
      </c>
      <c r="C71" s="129">
        <v>0.46</v>
      </c>
      <c r="D71" s="129" t="s">
        <v>150</v>
      </c>
      <c r="E71" s="129">
        <v>1.3</v>
      </c>
      <c r="F71" s="130" t="s">
        <v>274</v>
      </c>
      <c r="G71" s="131">
        <v>0.45</v>
      </c>
      <c r="H71" s="129" t="s">
        <v>276</v>
      </c>
      <c r="I71" s="132">
        <v>0.43</v>
      </c>
      <c r="J71" s="96"/>
      <c r="K71" s="96"/>
      <c r="L71" s="96"/>
      <c r="M71" s="96"/>
      <c r="N71" s="96"/>
    </row>
    <row r="72" spans="1:14" x14ac:dyDescent="0.25">
      <c r="A72" s="127" t="s">
        <v>41</v>
      </c>
      <c r="B72" s="128" t="s">
        <v>88</v>
      </c>
      <c r="C72" s="129">
        <v>0.44</v>
      </c>
      <c r="D72" s="129" t="s">
        <v>161</v>
      </c>
      <c r="E72" s="129">
        <v>1.3</v>
      </c>
      <c r="F72" s="130" t="s">
        <v>274</v>
      </c>
      <c r="G72" s="131">
        <v>0.45</v>
      </c>
      <c r="H72" s="129" t="s">
        <v>276</v>
      </c>
      <c r="I72" s="132">
        <v>0.43</v>
      </c>
      <c r="J72" s="96"/>
      <c r="K72" s="96"/>
      <c r="L72" s="96"/>
      <c r="M72" s="96"/>
      <c r="N72" s="96"/>
    </row>
    <row r="73" spans="1:14" x14ac:dyDescent="0.25">
      <c r="A73" s="127" t="s">
        <v>138</v>
      </c>
      <c r="B73" s="128" t="s">
        <v>140</v>
      </c>
      <c r="C73" s="129">
        <v>0.46</v>
      </c>
      <c r="D73" s="129" t="s">
        <v>151</v>
      </c>
      <c r="E73" s="129">
        <v>1.3</v>
      </c>
      <c r="F73" s="130" t="s">
        <v>274</v>
      </c>
      <c r="G73" s="131">
        <v>0.45</v>
      </c>
      <c r="H73" s="129" t="s">
        <v>276</v>
      </c>
      <c r="I73" s="132">
        <v>0.43</v>
      </c>
      <c r="J73" s="96"/>
      <c r="K73" s="96"/>
      <c r="L73" s="96"/>
      <c r="M73" s="96"/>
      <c r="N73" s="96"/>
    </row>
    <row r="74" spans="1:14" x14ac:dyDescent="0.25">
      <c r="A74" s="127" t="s">
        <v>42</v>
      </c>
      <c r="B74" s="128" t="s">
        <v>139</v>
      </c>
      <c r="C74" s="129">
        <v>0.34</v>
      </c>
      <c r="D74" s="129" t="s">
        <v>161</v>
      </c>
      <c r="E74" s="129">
        <v>1.3</v>
      </c>
      <c r="F74" s="130" t="s">
        <v>274</v>
      </c>
      <c r="G74" s="131">
        <v>0.45</v>
      </c>
      <c r="H74" s="129" t="s">
        <v>276</v>
      </c>
      <c r="I74" s="132">
        <v>0.43</v>
      </c>
      <c r="J74" s="96"/>
      <c r="K74" s="96"/>
      <c r="L74" s="96"/>
      <c r="M74" s="96"/>
      <c r="N74" s="96"/>
    </row>
    <row r="75" spans="1:14" x14ac:dyDescent="0.25">
      <c r="A75" s="127" t="s">
        <v>43</v>
      </c>
      <c r="B75" s="128" t="s">
        <v>162</v>
      </c>
      <c r="C75" s="129">
        <v>0.5</v>
      </c>
      <c r="D75" s="129" t="s">
        <v>161</v>
      </c>
      <c r="E75" s="129">
        <v>1.56</v>
      </c>
      <c r="F75" s="130" t="s">
        <v>274</v>
      </c>
      <c r="G75" s="131">
        <v>0.53</v>
      </c>
      <c r="H75" s="129" t="s">
        <v>275</v>
      </c>
      <c r="I75" s="132">
        <v>0.25</v>
      </c>
      <c r="J75" s="96"/>
      <c r="K75" s="96"/>
      <c r="L75" s="96"/>
      <c r="M75" s="96"/>
      <c r="N75" s="96"/>
    </row>
    <row r="76" spans="1:14" x14ac:dyDescent="0.25">
      <c r="A76" s="127" t="s">
        <v>44</v>
      </c>
      <c r="B76" s="128" t="s">
        <v>89</v>
      </c>
      <c r="C76" s="129">
        <v>0.57999999999999996</v>
      </c>
      <c r="D76" s="129" t="s">
        <v>161</v>
      </c>
      <c r="E76" s="129">
        <v>1.56</v>
      </c>
      <c r="F76" s="130" t="s">
        <v>274</v>
      </c>
      <c r="G76" s="131">
        <v>0.3</v>
      </c>
      <c r="H76" s="129" t="s">
        <v>277</v>
      </c>
      <c r="I76" s="132">
        <v>0.25</v>
      </c>
      <c r="J76" s="96"/>
      <c r="K76" s="96"/>
      <c r="L76" s="96"/>
      <c r="M76" s="96"/>
      <c r="N76" s="96"/>
    </row>
    <row r="77" spans="1:14" x14ac:dyDescent="0.25">
      <c r="A77" s="127" t="s">
        <v>47</v>
      </c>
      <c r="B77" s="128" t="s">
        <v>141</v>
      </c>
      <c r="C77" s="129">
        <v>0.37</v>
      </c>
      <c r="D77" s="129" t="s">
        <v>161</v>
      </c>
      <c r="E77" s="129">
        <v>1.3</v>
      </c>
      <c r="F77" s="130" t="s">
        <v>274</v>
      </c>
      <c r="G77" s="131">
        <v>0.55000000000000004</v>
      </c>
      <c r="H77" s="129" t="s">
        <v>152</v>
      </c>
      <c r="I77" s="132">
        <v>0.43</v>
      </c>
      <c r="J77" s="96"/>
      <c r="K77" s="96"/>
      <c r="L77" s="96"/>
      <c r="M77" s="96"/>
      <c r="N77" s="96"/>
    </row>
    <row r="78" spans="1:14" x14ac:dyDescent="0.25">
      <c r="A78" s="127" t="s">
        <v>45</v>
      </c>
      <c r="B78" s="128" t="s">
        <v>96</v>
      </c>
      <c r="C78" s="129">
        <v>0.37</v>
      </c>
      <c r="D78" s="129" t="s">
        <v>161</v>
      </c>
      <c r="E78" s="129">
        <v>1.3</v>
      </c>
      <c r="F78" s="130" t="s">
        <v>274</v>
      </c>
      <c r="G78" s="131">
        <v>0.55000000000000004</v>
      </c>
      <c r="H78" s="129" t="s">
        <v>152</v>
      </c>
      <c r="I78" s="132">
        <v>0.43</v>
      </c>
      <c r="J78" s="96"/>
      <c r="K78" s="96"/>
      <c r="L78" s="96"/>
      <c r="M78" s="96"/>
      <c r="N78" s="96"/>
    </row>
    <row r="79" spans="1:14" x14ac:dyDescent="0.25">
      <c r="A79" s="127" t="s">
        <v>46</v>
      </c>
      <c r="B79" s="128" t="s">
        <v>95</v>
      </c>
      <c r="C79" s="129">
        <v>0.38</v>
      </c>
      <c r="D79" s="129" t="s">
        <v>161</v>
      </c>
      <c r="E79" s="129">
        <v>1.3</v>
      </c>
      <c r="F79" s="130" t="s">
        <v>274</v>
      </c>
      <c r="G79" s="131">
        <v>0.55000000000000004</v>
      </c>
      <c r="H79" s="129" t="s">
        <v>153</v>
      </c>
      <c r="I79" s="132">
        <v>0.43</v>
      </c>
      <c r="J79" s="96"/>
      <c r="K79" s="96"/>
      <c r="L79" s="96"/>
      <c r="M79" s="96"/>
      <c r="N79" s="96"/>
    </row>
    <row r="80" spans="1:14" x14ac:dyDescent="0.25">
      <c r="A80" s="127" t="s">
        <v>48</v>
      </c>
      <c r="B80" s="128" t="s">
        <v>94</v>
      </c>
      <c r="C80" s="129">
        <v>0.36</v>
      </c>
      <c r="D80" s="129" t="s">
        <v>161</v>
      </c>
      <c r="E80" s="129">
        <v>1.3</v>
      </c>
      <c r="F80" s="130" t="s">
        <v>274</v>
      </c>
      <c r="G80" s="131">
        <v>0.55000000000000004</v>
      </c>
      <c r="H80" s="129" t="s">
        <v>153</v>
      </c>
      <c r="I80" s="132">
        <v>0.43</v>
      </c>
      <c r="J80" s="96"/>
      <c r="K80" s="96"/>
      <c r="L80" s="96"/>
      <c r="M80" s="96"/>
      <c r="N80" s="96"/>
    </row>
    <row r="81" spans="1:14" x14ac:dyDescent="0.25">
      <c r="A81" s="127" t="s">
        <v>49</v>
      </c>
      <c r="B81" s="128" t="s">
        <v>142</v>
      </c>
      <c r="C81" s="129">
        <v>0.37</v>
      </c>
      <c r="D81" s="129" t="s">
        <v>161</v>
      </c>
      <c r="E81" s="129">
        <v>1.56</v>
      </c>
      <c r="F81" s="130" t="s">
        <v>274</v>
      </c>
      <c r="G81" s="131">
        <v>0.43</v>
      </c>
      <c r="H81" s="129" t="s">
        <v>278</v>
      </c>
      <c r="I81" s="132">
        <v>0.25</v>
      </c>
      <c r="J81" s="96"/>
      <c r="K81" s="96"/>
      <c r="L81" s="96"/>
      <c r="M81" s="96"/>
      <c r="N81" s="96"/>
    </row>
    <row r="82" spans="1:14" x14ac:dyDescent="0.25">
      <c r="A82" s="127" t="s">
        <v>158</v>
      </c>
      <c r="B82" s="128" t="s">
        <v>159</v>
      </c>
      <c r="C82" s="129">
        <v>0.35</v>
      </c>
      <c r="D82" s="129" t="s">
        <v>160</v>
      </c>
      <c r="E82" s="129">
        <v>1.3</v>
      </c>
      <c r="F82" s="130" t="s">
        <v>274</v>
      </c>
      <c r="G82" s="131">
        <v>0.55000000000000004</v>
      </c>
      <c r="H82" s="129" t="s">
        <v>153</v>
      </c>
      <c r="I82" s="132">
        <v>0.43</v>
      </c>
      <c r="J82" s="96"/>
      <c r="K82" s="96"/>
      <c r="L82" s="96"/>
      <c r="M82" s="96"/>
      <c r="N82" s="96"/>
    </row>
    <row r="83" spans="1:14" x14ac:dyDescent="0.25">
      <c r="A83" s="127" t="s">
        <v>156</v>
      </c>
      <c r="B83" s="128" t="s">
        <v>157</v>
      </c>
      <c r="C83" s="129">
        <v>0.34</v>
      </c>
      <c r="D83" s="129" t="s">
        <v>161</v>
      </c>
      <c r="E83" s="129">
        <v>1.3</v>
      </c>
      <c r="F83" s="130" t="s">
        <v>274</v>
      </c>
      <c r="G83" s="131">
        <v>0.55000000000000004</v>
      </c>
      <c r="H83" s="129" t="s">
        <v>153</v>
      </c>
      <c r="I83" s="132">
        <v>0.43</v>
      </c>
      <c r="J83" s="96"/>
      <c r="K83" s="96"/>
      <c r="L83" s="96"/>
      <c r="M83" s="96"/>
      <c r="N83" s="96"/>
    </row>
    <row r="84" spans="1:14" x14ac:dyDescent="0.25">
      <c r="A84" s="127" t="s">
        <v>92</v>
      </c>
      <c r="B84" s="128" t="s">
        <v>93</v>
      </c>
      <c r="C84" s="129">
        <v>0.31</v>
      </c>
      <c r="D84" s="129" t="s">
        <v>161</v>
      </c>
      <c r="E84" s="129">
        <v>1.3</v>
      </c>
      <c r="F84" s="130" t="s">
        <v>274</v>
      </c>
      <c r="G84" s="131">
        <v>0.55000000000000004</v>
      </c>
      <c r="H84" s="129" t="s">
        <v>153</v>
      </c>
      <c r="I84" s="132">
        <v>0.43</v>
      </c>
      <c r="J84" s="96"/>
      <c r="K84" s="96"/>
      <c r="L84" s="96"/>
      <c r="M84" s="96"/>
      <c r="N84" s="96"/>
    </row>
    <row r="85" spans="1:14" x14ac:dyDescent="0.25">
      <c r="A85" s="127" t="s">
        <v>50</v>
      </c>
      <c r="B85" s="128" t="s">
        <v>143</v>
      </c>
      <c r="C85" s="129">
        <v>0.43</v>
      </c>
      <c r="D85" s="129" t="s">
        <v>161</v>
      </c>
      <c r="E85" s="129">
        <v>1.56</v>
      </c>
      <c r="F85" s="130" t="s">
        <v>274</v>
      </c>
      <c r="G85" s="131">
        <v>0.53</v>
      </c>
      <c r="H85" s="129" t="s">
        <v>275</v>
      </c>
      <c r="I85" s="132">
        <v>0.25</v>
      </c>
      <c r="J85" s="96"/>
      <c r="K85" s="96"/>
      <c r="L85" s="96"/>
      <c r="M85" s="96"/>
      <c r="N85" s="96"/>
    </row>
    <row r="86" spans="1:14" x14ac:dyDescent="0.25">
      <c r="A86" s="127" t="s">
        <v>51</v>
      </c>
      <c r="B86" s="128" t="s">
        <v>91</v>
      </c>
      <c r="C86" s="129">
        <v>0.38</v>
      </c>
      <c r="D86" s="129" t="s">
        <v>161</v>
      </c>
      <c r="E86" s="129">
        <v>1.56</v>
      </c>
      <c r="F86" s="130" t="s">
        <v>274</v>
      </c>
      <c r="G86" s="131">
        <v>0.6</v>
      </c>
      <c r="H86" s="129" t="s">
        <v>279</v>
      </c>
      <c r="I86" s="132">
        <v>0.25</v>
      </c>
      <c r="J86" s="96"/>
      <c r="K86" s="96"/>
      <c r="L86" s="96"/>
      <c r="M86" s="96"/>
      <c r="N86" s="96"/>
    </row>
    <row r="87" spans="1:14" x14ac:dyDescent="0.25">
      <c r="A87" s="282" t="s">
        <v>321</v>
      </c>
      <c r="B87" s="283" t="s">
        <v>322</v>
      </c>
      <c r="C87" s="284">
        <v>0.41</v>
      </c>
      <c r="D87" s="284" t="s">
        <v>323</v>
      </c>
      <c r="E87" s="284">
        <v>1.56</v>
      </c>
      <c r="F87" s="285" t="s">
        <v>274</v>
      </c>
      <c r="G87" s="286">
        <v>0.43</v>
      </c>
      <c r="H87" s="284" t="s">
        <v>278</v>
      </c>
      <c r="I87" s="287">
        <v>0.25</v>
      </c>
      <c r="J87" s="96"/>
      <c r="K87" s="96"/>
      <c r="L87" s="96"/>
      <c r="M87" s="96"/>
      <c r="N87" s="96"/>
    </row>
    <row r="88" spans="1:14" x14ac:dyDescent="0.25">
      <c r="A88" s="127" t="s">
        <v>148</v>
      </c>
      <c r="B88" s="135"/>
      <c r="C88" s="129">
        <v>0.42</v>
      </c>
      <c r="D88" s="129" t="s">
        <v>161</v>
      </c>
      <c r="E88" s="129">
        <v>1.3</v>
      </c>
      <c r="F88" s="130" t="s">
        <v>274</v>
      </c>
      <c r="G88" s="136"/>
      <c r="H88" s="135"/>
      <c r="I88" s="137"/>
    </row>
    <row r="89" spans="1:14" ht="15.75" thickBot="1" x14ac:dyDescent="0.3">
      <c r="A89" s="138" t="s">
        <v>149</v>
      </c>
      <c r="B89" s="139"/>
      <c r="C89" s="140">
        <v>0.56999999999999995</v>
      </c>
      <c r="D89" s="141" t="s">
        <v>161</v>
      </c>
      <c r="E89" s="140">
        <v>1.56</v>
      </c>
      <c r="F89" s="140" t="s">
        <v>274</v>
      </c>
      <c r="G89" s="139"/>
      <c r="H89" s="139"/>
      <c r="I89" s="142"/>
    </row>
    <row r="93" spans="1:14" x14ac:dyDescent="0.25">
      <c r="A93" s="127" t="s">
        <v>208</v>
      </c>
    </row>
    <row r="94" spans="1:14" x14ac:dyDescent="0.25">
      <c r="A94" s="127" t="s">
        <v>209</v>
      </c>
    </row>
    <row r="95" spans="1:14" x14ac:dyDescent="0.25">
      <c r="A95" s="127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5"/>
  <dimension ref="A1:BJ357"/>
  <sheetViews>
    <sheetView tabSelected="1" topLeftCell="A10" zoomScaleNormal="100" workbookViewId="0">
      <selection activeCell="P5" sqref="P5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3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5"/>
      <c r="B1" s="5"/>
      <c r="C1" s="5"/>
      <c r="D1" s="5"/>
      <c r="E1" s="5"/>
      <c r="F1" s="5"/>
      <c r="G1" s="5"/>
      <c r="H1" s="5"/>
      <c r="I1" s="68"/>
      <c r="J1" s="68"/>
      <c r="K1" s="68"/>
      <c r="L1" s="68"/>
      <c r="M1" s="68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7" thickBot="1" x14ac:dyDescent="0.45">
      <c r="A2" s="304" t="s">
        <v>271</v>
      </c>
      <c r="B2" s="305"/>
      <c r="C2" s="305"/>
      <c r="D2" s="305"/>
      <c r="E2" s="305"/>
      <c r="F2" s="305"/>
      <c r="G2" s="305"/>
      <c r="H2" s="305"/>
      <c r="I2" s="305"/>
      <c r="J2" s="305"/>
      <c r="K2" s="305"/>
      <c r="L2" s="306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25">
      <c r="A3" s="25"/>
      <c r="B3" s="25"/>
      <c r="C3" s="25"/>
      <c r="D3" s="25"/>
      <c r="E3" s="25"/>
      <c r="F3" s="25"/>
      <c r="G3" s="25"/>
      <c r="H3" s="25"/>
      <c r="I3" s="227"/>
      <c r="J3" s="227"/>
      <c r="K3" s="227"/>
      <c r="L3" s="227"/>
      <c r="M3" s="227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.75" thickBot="1" x14ac:dyDescent="0.3">
      <c r="A4" s="25"/>
      <c r="B4" s="25"/>
      <c r="C4" s="25"/>
      <c r="D4" s="25"/>
      <c r="E4" s="25"/>
      <c r="F4" s="25"/>
      <c r="G4" s="25"/>
      <c r="H4" s="25"/>
      <c r="I4" s="227"/>
      <c r="J4" s="227"/>
      <c r="K4" s="227"/>
      <c r="L4" s="227"/>
      <c r="M4" s="227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5.75" thickBot="1" x14ac:dyDescent="0.3">
      <c r="A5" s="143" t="s">
        <v>207</v>
      </c>
      <c r="B5" s="144" t="s">
        <v>250</v>
      </c>
      <c r="C5" s="145" t="str">
        <f>Calculateur!S2</f>
        <v>ΔStock moyen de long terme (tCO₂/ha)</v>
      </c>
      <c r="D5" s="145" t="str">
        <f>Calculateur!T2</f>
        <v>Δstock CO₂ 30 ans (tCO₂/ha)</v>
      </c>
      <c r="E5" s="145" t="s">
        <v>228</v>
      </c>
      <c r="F5" s="145" t="s">
        <v>239</v>
      </c>
      <c r="G5" s="145" t="s">
        <v>240</v>
      </c>
      <c r="H5" s="146" t="s">
        <v>241</v>
      </c>
      <c r="I5" s="147" t="s">
        <v>242</v>
      </c>
      <c r="J5" s="148" t="s">
        <v>243</v>
      </c>
      <c r="K5" s="149" t="s">
        <v>244</v>
      </c>
      <c r="L5" s="87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25">
      <c r="A6" s="150" t="str">
        <f>IF('Données projet'!$B$9="","",'Données projet'!$B$9)</f>
        <v>Charme</v>
      </c>
      <c r="B6" s="151">
        <f>'Données projet'!D9</f>
        <v>1.05</v>
      </c>
      <c r="C6" s="152">
        <f ca="1">IF(OR('Données projet'!B9="",'Données projet'!C9="",'Données projet'!C9=0%),0,Calculateur!S3)</f>
        <v>403.49781966317852</v>
      </c>
      <c r="D6" s="152">
        <f>IF(OR('Données projet'!B9="",'Données projet'!C9="",'Données projet'!C9=0%),0,Calculateur!T3)</f>
        <v>326.06674572505409</v>
      </c>
      <c r="E6" s="152">
        <f ca="1">MIN(C6,D6)</f>
        <v>326.06674572505409</v>
      </c>
      <c r="F6" s="152">
        <f ca="1">E6*B6</f>
        <v>342.3700830113068</v>
      </c>
      <c r="G6" s="152">
        <f ca="1">F6*(100%-'Données projet'!$C$24)*(100%-'Données projet'!$C$25)*(100%-'Données projet'!$C$26)*(100%-'Données projet'!$C$27)</f>
        <v>277.31976723915852</v>
      </c>
      <c r="H6" s="153">
        <f>IF(OR('Données projet'!B9="",'Données projet'!C9="",'Données projet'!C9=0%),0,AVERAGE(Calculateur!$AC$3:$AC$33)*B6)</f>
        <v>0</v>
      </c>
      <c r="I6" s="154">
        <f>H6*(100%-'Données projet'!$C$24)*(100%-'Données projet'!$C$25)*(100%-'Données projet'!$C$26)*(100%-'Données projet'!$C$27)</f>
        <v>0</v>
      </c>
      <c r="J6" s="155">
        <f>IF(OR('Données projet'!B9="",'Données projet'!C9="",'Données projet'!C9=0%),0,SUM(Calculateur!$V$3:$V$33)*VLOOKUP('Données projet'!$B$9,Paramètres!$A$1:$I$89,9,0)*B6)</f>
        <v>13.629807692307692</v>
      </c>
      <c r="K6" s="156">
        <f>J6*(100%-'Données projet'!$C$24)*(100%-'Données projet'!$C$25)*(100%-'Données projet'!$C$26)*(100%-'Données projet'!$C$27)</f>
        <v>11.040144230769231</v>
      </c>
      <c r="L6" s="157">
        <f ca="1">G6+I6+K6</f>
        <v>288.35991146992774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25">
      <c r="A7" s="158" t="str">
        <f>IF('Données projet'!$B$10="","",'Données projet'!$B$10)</f>
        <v>Erable champêtre</v>
      </c>
      <c r="B7" s="159">
        <f>'Données projet'!D10</f>
        <v>1.05</v>
      </c>
      <c r="C7" s="152">
        <f ca="1">IF(OR('Données projet'!B10="",'Données projet'!C10="",'Données projet'!C10=0%),0,Calculateur!AN3)</f>
        <v>274.66236526869056</v>
      </c>
      <c r="D7" s="152">
        <f>IF(OR('Données projet'!B10="",'Données projet'!C10="",'Données projet'!C10=0%),0,Calculateur!AO3)</f>
        <v>256.90876395053073</v>
      </c>
      <c r="E7" s="152">
        <f t="shared" ref="E7:E15" ca="1" si="0">MIN(C7,D7)</f>
        <v>256.90876395053073</v>
      </c>
      <c r="F7" s="152">
        <f t="shared" ref="F7:F15" ca="1" si="1">E7*B7</f>
        <v>269.75420214805729</v>
      </c>
      <c r="G7" s="152">
        <f ca="1">F7*(100%-'Données projet'!$C$24)*(100%-'Données projet'!$C$25)*(100%-'Données projet'!$C$26)*(100%-'Données projet'!$C$27)</f>
        <v>218.5009037399264</v>
      </c>
      <c r="H7" s="160">
        <f>IF(OR('Données projet'!B10="",'Données projet'!C10="",'Données projet'!C10=0%),0,AVERAGE(Calculateur!$AX$3:$AX$33)*B7)</f>
        <v>0</v>
      </c>
      <c r="I7" s="154">
        <f>H7*(100%-'Données projet'!$C$24)*(100%-'Données projet'!$C$25)*(100%-'Données projet'!$C$26)*(100%-'Données projet'!$C$27)</f>
        <v>0</v>
      </c>
      <c r="J7" s="155">
        <f>IF(OR('Données projet'!B10="",'Données projet'!C10="",'Données projet'!C10=0%),0,SUM(Calculateur!$AQ$3:$AQ$33)*VLOOKUP('Données projet'!$B$10,Paramètres!$A$1:$I$89,9,0)*B7)</f>
        <v>11.025</v>
      </c>
      <c r="K7" s="156">
        <f>J7*(100%-'Données projet'!$C$24)*(100%-'Données projet'!$C$25)*(100%-'Données projet'!$C$26)*(100%-'Données projet'!$C$27)</f>
        <v>8.9302500000000009</v>
      </c>
      <c r="L7" s="157">
        <f t="shared" ref="L7:L15" ca="1" si="2">G7+I7+K7</f>
        <v>227.4311537399264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25">
      <c r="A8" s="158" t="str">
        <f>IF('Données projet'!$B$11="","",'Données projet'!$B$11)</f>
        <v>Chêne sessile</v>
      </c>
      <c r="B8" s="159">
        <f>'Données projet'!D11</f>
        <v>1.05</v>
      </c>
      <c r="C8" s="152">
        <f ca="1">IF(OR('Données projet'!B11="",'Données projet'!C11="",'Données projet'!C11=0%),0,Calculateur!BI3)</f>
        <v>529.25712986118265</v>
      </c>
      <c r="D8" s="152">
        <f>IF(OR('Données projet'!B11="",'Données projet'!C11="",'Données projet'!C11=0%),0,Calculateur!BJ3)</f>
        <v>278.21741231699929</v>
      </c>
      <c r="E8" s="152">
        <f t="shared" ca="1" si="0"/>
        <v>278.21741231699929</v>
      </c>
      <c r="F8" s="152">
        <f t="shared" ca="1" si="1"/>
        <v>292.12828293284929</v>
      </c>
      <c r="G8" s="152">
        <f ca="1">F8*(100%-'Données projet'!$C$24)*(100%-'Données projet'!$C$25)*(100%-'Données projet'!$C$26)*(100%-'Données projet'!$C$27)</f>
        <v>236.62390917560793</v>
      </c>
      <c r="H8" s="160">
        <f>IF(OR('Données projet'!B11="",'Données projet'!C11="",'Données projet'!C11=0%),0,AVERAGE(Calculateur!$BS$3:$BS$33)*B8)</f>
        <v>0</v>
      </c>
      <c r="I8" s="154">
        <f>H8*(100%-'Données projet'!$C$24)*(100%-'Données projet'!$C$25)*(100%-'Données projet'!$C$26)*(100%-'Données projet'!$C$27)</f>
        <v>0</v>
      </c>
      <c r="J8" s="155">
        <f>IF(OR('Données projet'!B11="",'Données projet'!C11="",'Données projet'!C11=0%),0,SUM(Calculateur!$BL$3:$BL$33)*VLOOKUP('Données projet'!$B$11,Paramètres!$A$1:$I$89,9,0)*B8)</f>
        <v>8.9250000000000007</v>
      </c>
      <c r="K8" s="156">
        <f>J8*(100%-'Données projet'!$C$24)*(100%-'Données projet'!$C$25)*(100%-'Données projet'!$C$26)*(100%-'Données projet'!$C$27)</f>
        <v>7.2292500000000004</v>
      </c>
      <c r="L8" s="157">
        <f t="shared" ca="1" si="2"/>
        <v>243.85315917560794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25">
      <c r="A9" s="158" t="str">
        <f>IF('Données projet'!$B$12="","",'Données projet'!$B$12)</f>
        <v>Chêne pubescent</v>
      </c>
      <c r="B9" s="159">
        <f>'Données projet'!D12</f>
        <v>0.44982</v>
      </c>
      <c r="C9" s="152">
        <f ca="1">IF(OR('Données projet'!B12="",'Données projet'!C12="",'Données projet'!C12=0%),0,Calculateur!CD3)</f>
        <v>587.74247372331615</v>
      </c>
      <c r="D9" s="152">
        <f>IF(OR('Données projet'!B12="",'Données projet'!C12="",'Données projet'!C12=0%),0,Calculateur!CE3)</f>
        <v>306.61893266146666</v>
      </c>
      <c r="E9" s="152">
        <f t="shared" ca="1" si="0"/>
        <v>306.61893266146666</v>
      </c>
      <c r="F9" s="152">
        <f t="shared" ca="1" si="1"/>
        <v>137.92332828978093</v>
      </c>
      <c r="G9" s="152">
        <f ca="1">F9*(100%-'Données projet'!$C$24)*(100%-'Données projet'!$C$25)*(100%-'Données projet'!$C$26)*(100%-'Données projet'!$C$27)</f>
        <v>111.71789591472256</v>
      </c>
      <c r="H9" s="160">
        <f>IF(OR('Données projet'!B12="",'Données projet'!C12="",'Données projet'!C12=0%),0,AVERAGE(Calculateur!$CN$3:$CN$33)*B9)</f>
        <v>0</v>
      </c>
      <c r="I9" s="154">
        <f>H9*(100%-'Données projet'!$C$24)*(100%-'Données projet'!$C$25)*(100%-'Données projet'!$C$26)*(100%-'Données projet'!$C$27)</f>
        <v>0</v>
      </c>
      <c r="J9" s="155">
        <f>IF(OR('Données projet'!B12="",'Données projet'!C12="",'Données projet'!C12=0%),0,SUM(Calculateur!$CG$3:$CG$33)*VLOOKUP('Données projet'!$B$12,Paramètres!$A$1:$I$89,9,0)*B9)</f>
        <v>3.8234699999999999</v>
      </c>
      <c r="K9" s="156">
        <f>J9*(100%-'Données projet'!$C$24)*(100%-'Données projet'!$C$25)*(100%-'Données projet'!$C$26)*(100%-'Données projet'!$C$27)</f>
        <v>3.0970107000000002</v>
      </c>
      <c r="L9" s="157">
        <f t="shared" ca="1" si="2"/>
        <v>114.81490661472256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25">
      <c r="A10" s="158" t="str">
        <f>IF('Données projet'!$B$13="","",'Données projet'!$B$13)</f>
        <v>Cormier</v>
      </c>
      <c r="B10" s="159">
        <f>'Données projet'!D13</f>
        <v>0.12012</v>
      </c>
      <c r="C10" s="152">
        <f ca="1">IF(OR('Données projet'!B13="",'Données projet'!C13="",'Données projet'!C13=0%),0,Calculateur!CY3)</f>
        <v>621.10465023992288</v>
      </c>
      <c r="D10" s="152">
        <f>IF(OR('Données projet'!B13="",'Données projet'!C13="",'Données projet'!C13=0%),0,Calculateur!CZ3)</f>
        <v>322.81767004794284</v>
      </c>
      <c r="E10" s="152">
        <f t="shared" ca="1" si="0"/>
        <v>322.81767004794284</v>
      </c>
      <c r="F10" s="152">
        <f t="shared" ca="1" si="1"/>
        <v>38.776858526158897</v>
      </c>
      <c r="G10" s="152">
        <f ca="1">F10*(100%-'Données projet'!$C$24)*(100%-'Données projet'!$C$25)*(100%-'Données projet'!$C$26)*(100%-'Données projet'!$C$27)</f>
        <v>31.409255406188706</v>
      </c>
      <c r="H10" s="160">
        <f>IF(OR('Données projet'!B13="",'Données projet'!C13="",'Données projet'!C13=0%),0,AVERAGE(Calculateur!$DI$3:$DI$33)*B10)</f>
        <v>0</v>
      </c>
      <c r="I10" s="154">
        <f>H10*(100%-'Données projet'!$C$24)*(100%-'Données projet'!$C$25)*(100%-'Données projet'!$C$26)*(100%-'Données projet'!$C$27)</f>
        <v>0</v>
      </c>
      <c r="J10" s="155">
        <f>IF(OR('Données projet'!B13="",'Données projet'!C13="",'Données projet'!C13=0%),0,SUM(Calculateur!$DB$3:$DB$33)*VLOOKUP('Données projet'!$B$13,Paramètres!$A$1:$I$89,9,0)*B10)</f>
        <v>1.02102</v>
      </c>
      <c r="K10" s="156">
        <f>J10*(100%-'Données projet'!$C$24)*(100%-'Données projet'!$C$25)*(100%-'Données projet'!$C$26)*(100%-'Données projet'!$C$27)</f>
        <v>0.82702620000000004</v>
      </c>
      <c r="L10" s="157">
        <f t="shared" ca="1" si="2"/>
        <v>32.236281606188705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25">
      <c r="A11" s="158" t="str">
        <f>IF('Données projet'!$B$14="","",'Données projet'!$B$14)</f>
        <v>Alisier torminal</v>
      </c>
      <c r="B11" s="159">
        <f>'Données projet'!D14</f>
        <v>0.12012</v>
      </c>
      <c r="C11" s="152">
        <f ca="1">IF(OR('Données projet'!B14="",'Données projet'!C14="",'Données projet'!C14=0%),0,Calculateur!DT3)</f>
        <v>562.69380557620775</v>
      </c>
      <c r="D11" s="152">
        <f>IF(OR('Données projet'!B14="",'Données projet'!C14="",'Données projet'!C14=0%),0,Calculateur!DU3)</f>
        <v>294.45557293177131</v>
      </c>
      <c r="E11" s="152">
        <f t="shared" ca="1" si="0"/>
        <v>294.45557293177131</v>
      </c>
      <c r="F11" s="152">
        <f t="shared" ca="1" si="1"/>
        <v>35.370003420564373</v>
      </c>
      <c r="G11" s="152">
        <f ca="1">F11*(100%-'Données projet'!$C$24)*(100%-'Données projet'!$C$25)*(100%-'Données projet'!$C$26)*(100%-'Données projet'!$C$27)</f>
        <v>28.649702770657143</v>
      </c>
      <c r="H11" s="160">
        <f>IF(OR('Données projet'!B14="",'Données projet'!C14="",'Données projet'!C14=0%),0,AVERAGE(Calculateur!$ED$3:$ED$33)*B11)</f>
        <v>0</v>
      </c>
      <c r="I11" s="154">
        <f>H11*(100%-'Données projet'!$C$24)*(100%-'Données projet'!$C$25)*(100%-'Données projet'!$C$26)*(100%-'Données projet'!$C$27)</f>
        <v>0</v>
      </c>
      <c r="J11" s="155">
        <f>IF(OR('Données projet'!B14="",'Données projet'!C14="",'Données projet'!C14=0%),0,SUM(Calculateur!$DW$3:$DW$33)*VLOOKUP('Données projet'!$B$14,Paramètres!$A$1:$I$89,9,0)*B11)</f>
        <v>1.02102</v>
      </c>
      <c r="K11" s="156">
        <f>J11*(100%-'Données projet'!$C$24)*(100%-'Données projet'!$C$25)*(100%-'Données projet'!$C$26)*(100%-'Données projet'!$C$27)</f>
        <v>0.82702620000000004</v>
      </c>
      <c r="L11" s="157">
        <f t="shared" ca="1" si="2"/>
        <v>29.476728970657142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25">
      <c r="A12" s="158" t="str">
        <f>IF('Données projet'!$B$15="","",'Données projet'!$B$15)</f>
        <v>Merisier</v>
      </c>
      <c r="B12" s="159">
        <f>'Données projet'!D15</f>
        <v>0.12012</v>
      </c>
      <c r="C12" s="152">
        <f ca="1">IF(OR('Données projet'!B15="",'Données projet'!C15="",'Données projet'!C15=0%),0,Calculateur!EO3)</f>
        <v>292.57482726862594</v>
      </c>
      <c r="D12" s="152">
        <f>IF(OR('Données projet'!B15="",'Données projet'!C15="",'Données projet'!C15=0%),0,Calculateur!EP3)</f>
        <v>283.48738729114024</v>
      </c>
      <c r="E12" s="152">
        <f t="shared" ca="1" si="0"/>
        <v>283.48738729114024</v>
      </c>
      <c r="F12" s="152">
        <f t="shared" ca="1" si="1"/>
        <v>34.052504961411763</v>
      </c>
      <c r="G12" s="152">
        <f ca="1">F12*(100%-'Données projet'!$C$24)*(100%-'Données projet'!$C$25)*(100%-'Données projet'!$C$26)*(100%-'Données projet'!$C$27)</f>
        <v>27.582529018743529</v>
      </c>
      <c r="H12" s="160">
        <f>IF(OR('Données projet'!B15="",'Données projet'!C15="",'Données projet'!C15=0%),0,AVERAGE(Calculateur!$EY$3:$EY$33)*B12)</f>
        <v>0</v>
      </c>
      <c r="I12" s="154">
        <f>H12*(100%-'Données projet'!$C$24)*(100%-'Données projet'!$C$25)*(100%-'Données projet'!$C$26)*(100%-'Données projet'!$C$27)</f>
        <v>0</v>
      </c>
      <c r="J12" s="155">
        <f>IF(OR('Données projet'!B15="",'Données projet'!C15="",'Données projet'!C15=0%),0,SUM(Calculateur!$ER$3:$ER$33)*VLOOKUP('Données projet'!$B$15,Paramètres!$A$1:$I$89,9,0)*B12)</f>
        <v>1.6516500000000001</v>
      </c>
      <c r="K12" s="156">
        <f>J12*(100%-'Données projet'!$C$24)*(100%-'Données projet'!$C$25)*(100%-'Données projet'!$C$26)*(100%-'Données projet'!$C$27)</f>
        <v>1.3378365000000001</v>
      </c>
      <c r="L12" s="157">
        <f t="shared" ca="1" si="2"/>
        <v>28.92036551874353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25">
      <c r="A13" s="158" t="str">
        <f>IF('Données projet'!$B$16="","",'Données projet'!$B$16)</f>
        <v/>
      </c>
      <c r="B13" s="159">
        <f>'Données projet'!D16</f>
        <v>0</v>
      </c>
      <c r="C13" s="152">
        <f>IF(OR('Données projet'!B16="",'Données projet'!C16="",'Données projet'!C16=0%),0,Calculateur!FJ3)</f>
        <v>0</v>
      </c>
      <c r="D13" s="152">
        <f>IF(OR('Données projet'!B16="",'Données projet'!C16="",'Données projet'!C16=0%),0,Calculateur!FK3)</f>
        <v>0</v>
      </c>
      <c r="E13" s="152">
        <f t="shared" si="0"/>
        <v>0</v>
      </c>
      <c r="F13" s="152">
        <f t="shared" si="1"/>
        <v>0</v>
      </c>
      <c r="G13" s="152">
        <f>F13*(100%-'Données projet'!$C$24)*(100%-'Données projet'!$C$25)*(100%-'Données projet'!$C$26)*(100%-'Données projet'!$C$27)</f>
        <v>0</v>
      </c>
      <c r="H13" s="160">
        <f>IF(OR('Données projet'!B16="",'Données projet'!C16="",'Données projet'!C16=0%),0,AVERAGE(Calculateur!$FT$3:$FT$33)*B13)</f>
        <v>0</v>
      </c>
      <c r="I13" s="154">
        <f>H13*(100%-'Données projet'!$C$24)*(100%-'Données projet'!$C$25)*(100%-'Données projet'!$C$26)*(100%-'Données projet'!$C$27)</f>
        <v>0</v>
      </c>
      <c r="J13" s="155">
        <f>IF(OR('Données projet'!C16="",'Données projet'!C16=0%),0,SUM(Calculateur!$FM$3:$FM$33)*VLOOKUP('Données projet'!$B$16,Paramètres!$A$1:$I$89,9,0)*B13)</f>
        <v>0</v>
      </c>
      <c r="K13" s="156">
        <f>J13*(100%-'Données projet'!$C$24)*(100%-'Données projet'!$C$25)*(100%-'Données projet'!$C$26)*(100%-'Données projet'!$C$27)</f>
        <v>0</v>
      </c>
      <c r="L13" s="157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25">
      <c r="A14" s="158" t="str">
        <f>IF('Données projet'!$B$17="","",'Données projet'!$B$17)</f>
        <v/>
      </c>
      <c r="B14" s="159">
        <f>'Données projet'!D17</f>
        <v>0</v>
      </c>
      <c r="C14" s="152">
        <f>IF(OR('Données projet'!B17="",'Données projet'!C17="",'Données projet'!C17=0%),0,Calculateur!GE3)</f>
        <v>0</v>
      </c>
      <c r="D14" s="152">
        <f>IF(OR('Données projet'!B17="",'Données projet'!C17="",'Données projet'!C17=0%),0,Calculateur!GF3)</f>
        <v>0</v>
      </c>
      <c r="E14" s="152">
        <f t="shared" si="0"/>
        <v>0</v>
      </c>
      <c r="F14" s="152">
        <f t="shared" si="1"/>
        <v>0</v>
      </c>
      <c r="G14" s="152">
        <f>F14*(100%-'Données projet'!$C$24)*(100%-'Données projet'!$C$25)*(100%-'Données projet'!$C$26)*(100%-'Données projet'!$C$27)</f>
        <v>0</v>
      </c>
      <c r="H14" s="160">
        <f>IF(OR('Données projet'!B17="",'Données projet'!C17="",'Données projet'!C17=0%),0,AVERAGE(Calculateur!$GO$3:$GO$33)*B14)</f>
        <v>0</v>
      </c>
      <c r="I14" s="154">
        <f>H14*(100%-'Données projet'!$C$24)*(100%-'Données projet'!$C$25)*(100%-'Données projet'!$C$26)*(100%-'Données projet'!$C$27)</f>
        <v>0</v>
      </c>
      <c r="J14" s="155">
        <f>IF(OR('Données projet'!B17="",'Données projet'!C17="",'Données projet'!C17=0%),0,SUM(Calculateur!$GH$3:$GH$33)*VLOOKUP('Données projet'!$B$17,Paramètres!$A$1:$I$89,9,0)*B14)</f>
        <v>0</v>
      </c>
      <c r="K14" s="156">
        <f>J14*(100%-'Données projet'!$C$24)*(100%-'Données projet'!$C$25)*(100%-'Données projet'!$C$26)*(100%-'Données projet'!$C$27)</f>
        <v>0</v>
      </c>
      <c r="L14" s="157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.75" thickBot="1" x14ac:dyDescent="0.3">
      <c r="A15" s="161" t="str">
        <f>IF('Données projet'!B18="","",'Données projet'!B18)</f>
        <v/>
      </c>
      <c r="B15" s="162">
        <f>'Données projet'!D18</f>
        <v>0</v>
      </c>
      <c r="C15" s="163">
        <f>IF(OR('Données projet'!B18="",'Données projet'!C18="",'Données projet'!C18=0%),0,Calculateur!GZ3)</f>
        <v>0</v>
      </c>
      <c r="D15" s="163">
        <f>IF(OR('Données projet'!B18="",'Données projet'!C18="",'Données projet'!C18=0%),0,Calculateur!HA3)</f>
        <v>0</v>
      </c>
      <c r="E15" s="163">
        <f t="shared" si="0"/>
        <v>0</v>
      </c>
      <c r="F15" s="164">
        <f t="shared" si="1"/>
        <v>0</v>
      </c>
      <c r="G15" s="164">
        <f>F15*(100%-'Données projet'!$C$24)*(100%-'Données projet'!$C$25)*(100%-'Données projet'!$C$26)*(100%-'Données projet'!$C$27)</f>
        <v>0</v>
      </c>
      <c r="H15" s="165">
        <f>IF(OR('Données projet'!B18="",'Données projet'!C18="",'Données projet'!C18=0%),0,AVERAGE(Calculateur!$HJ$3:$HJ$33)*B15)</f>
        <v>0</v>
      </c>
      <c r="I15" s="166">
        <f>H15*(100%-'Données projet'!$C$24)*(100%-'Données projet'!$C$25)*(100%-'Données projet'!$C$26)*(100%-'Données projet'!$C$27)</f>
        <v>0</v>
      </c>
      <c r="J15" s="167">
        <f>IF(OR('Données projet'!B18="",'Données projet'!C18="",'Données projet'!C18=0%),0,SUM(Calculateur!$HC$3:$HC$33)*VLOOKUP('Données projet'!$B$18,Paramètres!$A$1:$I$89,9,0)*B15)</f>
        <v>0</v>
      </c>
      <c r="K15" s="168">
        <f>J15*(100%-'Données projet'!$C$24)*(100%-'Données projet'!$C$25)*(100%-'Données projet'!$C$26)*(100%-'Données projet'!$C$27)</f>
        <v>0</v>
      </c>
      <c r="L15" s="169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.75" thickBot="1" x14ac:dyDescent="0.3">
      <c r="A16" s="222"/>
      <c r="B16" s="229"/>
      <c r="C16" s="230"/>
      <c r="D16" s="25"/>
      <c r="E16" s="25"/>
      <c r="F16" s="170">
        <f t="shared" ref="F16:L16" ca="1" si="3">SUM(F6:F15)</f>
        <v>1150.3752632901296</v>
      </c>
      <c r="G16" s="171">
        <f t="shared" ca="1" si="3"/>
        <v>931.80396326500477</v>
      </c>
      <c r="H16" s="172">
        <f t="shared" si="3"/>
        <v>0</v>
      </c>
      <c r="I16" s="172">
        <f t="shared" si="3"/>
        <v>0</v>
      </c>
      <c r="J16" s="173">
        <f t="shared" si="3"/>
        <v>41.0969676923077</v>
      </c>
      <c r="K16" s="173">
        <f t="shared" si="3"/>
        <v>33.288543830769228</v>
      </c>
      <c r="L16" s="174">
        <f t="shared" ca="1" si="3"/>
        <v>965.09250709577418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25">
      <c r="A17" s="222"/>
      <c r="B17" s="229"/>
      <c r="C17" s="230"/>
      <c r="D17" s="227"/>
      <c r="E17" s="227"/>
      <c r="F17" s="316" t="s">
        <v>246</v>
      </c>
      <c r="G17" s="317"/>
      <c r="H17" s="317"/>
      <c r="I17" s="317"/>
      <c r="J17" s="317"/>
      <c r="K17" s="317"/>
      <c r="L17" s="317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25">
      <c r="A18" s="222"/>
      <c r="B18" s="229"/>
      <c r="C18" s="230"/>
      <c r="D18" s="227"/>
      <c r="E18" s="227"/>
      <c r="F18" s="318"/>
      <c r="G18" s="318"/>
      <c r="H18" s="318"/>
      <c r="I18" s="318"/>
      <c r="J18" s="318"/>
      <c r="K18" s="318"/>
      <c r="L18" s="318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25">
      <c r="A19" s="25"/>
      <c r="B19" s="25"/>
      <c r="C19" s="25"/>
      <c r="D19" s="25"/>
      <c r="E19" s="25"/>
      <c r="F19" s="25"/>
      <c r="G19" s="25"/>
      <c r="H19" s="25"/>
      <c r="I19" s="227"/>
      <c r="J19" s="227"/>
      <c r="K19" s="227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.75" thickBot="1" x14ac:dyDescent="0.3">
      <c r="A20" s="25"/>
      <c r="B20" s="25"/>
      <c r="C20" s="25"/>
      <c r="D20" s="25"/>
      <c r="E20" s="25"/>
      <c r="F20" s="25"/>
      <c r="G20" s="25"/>
      <c r="H20" s="25"/>
      <c r="I20" s="227"/>
      <c r="J20" s="227"/>
      <c r="K20" s="227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.75" thickBot="1" x14ac:dyDescent="0.3">
      <c r="A21" s="175" t="str">
        <f>A6</f>
        <v>Charme</v>
      </c>
      <c r="B21" s="5"/>
      <c r="C21" s="5"/>
      <c r="D21" s="5"/>
      <c r="E21" s="5"/>
      <c r="F21" s="5"/>
      <c r="G21" s="5"/>
      <c r="H21" s="5"/>
      <c r="I21" s="227"/>
      <c r="J21" s="227"/>
      <c r="K21" s="227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25">
      <c r="A22" s="5"/>
      <c r="B22" s="5"/>
      <c r="C22" s="5"/>
      <c r="D22" s="5"/>
      <c r="E22" s="5"/>
      <c r="F22" s="5"/>
      <c r="G22" s="5"/>
      <c r="H22" s="5"/>
      <c r="I22" s="227"/>
      <c r="J22" s="227"/>
      <c r="K22" s="227"/>
      <c r="L22" s="227"/>
      <c r="M22" s="227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25">
      <c r="A23" s="5"/>
      <c r="B23" s="5"/>
      <c r="C23" s="5"/>
      <c r="D23" s="5"/>
      <c r="E23" s="5"/>
      <c r="F23" s="5"/>
      <c r="G23" s="5"/>
      <c r="H23" s="5"/>
      <c r="I23" s="227"/>
      <c r="J23" s="227"/>
      <c r="K23" s="227"/>
      <c r="L23" s="227"/>
      <c r="M23" s="227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25">
      <c r="A24" s="5"/>
      <c r="B24" s="5"/>
      <c r="C24" s="5"/>
      <c r="D24" s="5"/>
      <c r="E24" s="5"/>
      <c r="F24" s="5"/>
      <c r="G24" s="5"/>
      <c r="H24" s="5"/>
      <c r="I24" s="227"/>
      <c r="J24" s="227"/>
      <c r="K24" s="227"/>
      <c r="L24" s="227"/>
      <c r="M24" s="227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25">
      <c r="A25" s="5"/>
      <c r="B25" s="5"/>
      <c r="C25" s="5"/>
      <c r="D25" s="5"/>
      <c r="E25" s="5"/>
      <c r="F25" s="5"/>
      <c r="G25" s="5"/>
      <c r="H25" s="5"/>
      <c r="I25" s="227"/>
      <c r="J25" s="227"/>
      <c r="K25" s="227"/>
      <c r="L25" s="227"/>
      <c r="M25" s="227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25">
      <c r="A26" s="5"/>
      <c r="B26" s="5"/>
      <c r="C26" s="5"/>
      <c r="D26" s="5"/>
      <c r="E26" s="5"/>
      <c r="F26" s="5"/>
      <c r="G26" s="5"/>
      <c r="H26" s="5"/>
      <c r="I26" s="227"/>
      <c r="J26" s="227"/>
      <c r="K26" s="227"/>
      <c r="L26" s="227"/>
      <c r="M26" s="227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25">
      <c r="A27" s="5"/>
      <c r="B27" s="5"/>
      <c r="C27" s="5"/>
      <c r="D27" s="5"/>
      <c r="E27" s="5"/>
      <c r="F27" s="5"/>
      <c r="G27" s="5"/>
      <c r="H27" s="5"/>
      <c r="I27" s="227"/>
      <c r="J27" s="227"/>
      <c r="K27" s="227"/>
      <c r="L27" s="227"/>
      <c r="M27" s="227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25">
      <c r="A28" s="5"/>
      <c r="B28" s="5"/>
      <c r="C28" s="5"/>
      <c r="D28" s="5"/>
      <c r="E28" s="5"/>
      <c r="F28" s="5"/>
      <c r="G28" s="5"/>
      <c r="H28" s="5"/>
      <c r="I28" s="227"/>
      <c r="J28" s="227"/>
      <c r="K28" s="227"/>
      <c r="L28" s="227"/>
      <c r="M28" s="227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25">
      <c r="A29" s="5"/>
      <c r="B29" s="5"/>
      <c r="C29" s="5"/>
      <c r="D29" s="5"/>
      <c r="E29" s="5"/>
      <c r="F29" s="5"/>
      <c r="G29" s="5"/>
      <c r="H29" s="5"/>
      <c r="I29" s="227"/>
      <c r="J29" s="227"/>
      <c r="K29" s="227"/>
      <c r="L29" s="227"/>
      <c r="M29" s="227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25">
      <c r="A30" s="5"/>
      <c r="B30" s="5"/>
      <c r="C30" s="5"/>
      <c r="D30" s="5"/>
      <c r="E30" s="5"/>
      <c r="F30" s="5"/>
      <c r="G30" s="5"/>
      <c r="H30" s="5"/>
      <c r="I30" s="227"/>
      <c r="J30" s="227"/>
      <c r="K30" s="227"/>
      <c r="L30" s="227"/>
      <c r="M30" s="227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25">
      <c r="A31" s="5"/>
      <c r="B31" s="5"/>
      <c r="C31" s="5"/>
      <c r="D31" s="5"/>
      <c r="E31" s="5"/>
      <c r="F31" s="5"/>
      <c r="G31" s="5"/>
      <c r="H31" s="5"/>
      <c r="I31" s="227"/>
      <c r="J31" s="227"/>
      <c r="K31" s="227"/>
      <c r="L31" s="227"/>
      <c r="M31" s="227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25">
      <c r="A32" s="5"/>
      <c r="B32" s="5"/>
      <c r="C32" s="5"/>
      <c r="D32" s="5"/>
      <c r="E32" s="5"/>
      <c r="F32" s="5"/>
      <c r="G32" s="5"/>
      <c r="H32" s="5"/>
      <c r="I32" s="227"/>
      <c r="J32" s="227"/>
      <c r="K32" s="227"/>
      <c r="L32" s="227"/>
      <c r="M32" s="227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25">
      <c r="A33" s="5"/>
      <c r="B33" s="5"/>
      <c r="C33" s="5"/>
      <c r="D33" s="5"/>
      <c r="E33" s="5"/>
      <c r="F33" s="5"/>
      <c r="G33" s="5"/>
      <c r="H33" s="5"/>
      <c r="I33" s="227"/>
      <c r="J33" s="227"/>
      <c r="K33" s="227"/>
      <c r="L33" s="227"/>
      <c r="M33" s="227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25">
      <c r="A34" s="5"/>
      <c r="B34" s="5"/>
      <c r="C34" s="5"/>
      <c r="D34" s="5"/>
      <c r="E34" s="5"/>
      <c r="F34" s="5"/>
      <c r="G34" s="5"/>
      <c r="H34" s="5"/>
      <c r="I34" s="227"/>
      <c r="J34" s="227"/>
      <c r="K34" s="227"/>
      <c r="L34" s="227"/>
      <c r="M34" s="227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25">
      <c r="A35" s="5"/>
      <c r="B35" s="5"/>
      <c r="C35" s="5"/>
      <c r="D35" s="5"/>
      <c r="E35" s="5"/>
      <c r="F35" s="5"/>
      <c r="G35" s="5"/>
      <c r="H35" s="5"/>
      <c r="I35" s="227"/>
      <c r="J35" s="227"/>
      <c r="K35" s="227"/>
      <c r="L35" s="227"/>
      <c r="M35" s="227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25">
      <c r="A36" s="5"/>
      <c r="B36" s="5"/>
      <c r="C36" s="5"/>
      <c r="D36" s="5"/>
      <c r="E36" s="5"/>
      <c r="F36" s="5"/>
      <c r="G36" s="5"/>
      <c r="H36" s="5"/>
      <c r="I36" s="227"/>
      <c r="J36" s="227"/>
      <c r="K36" s="227"/>
      <c r="L36" s="227"/>
      <c r="M36" s="227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25">
      <c r="A37" s="5"/>
      <c r="B37" s="5"/>
      <c r="C37" s="5"/>
      <c r="D37" s="5"/>
      <c r="E37" s="5"/>
      <c r="F37" s="5"/>
      <c r="G37" s="5"/>
      <c r="H37" s="5"/>
      <c r="I37" s="227"/>
      <c r="J37" s="227"/>
      <c r="K37" s="227"/>
      <c r="L37" s="227"/>
      <c r="M37" s="227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.75" thickBot="1" x14ac:dyDescent="0.3">
      <c r="A38" s="5"/>
      <c r="B38" s="5"/>
      <c r="C38" s="5"/>
      <c r="D38" s="5"/>
      <c r="E38" s="5"/>
      <c r="F38" s="5"/>
      <c r="G38" s="5"/>
      <c r="H38" s="5"/>
      <c r="I38" s="227"/>
      <c r="J38" s="227"/>
      <c r="K38" s="227"/>
      <c r="L38" s="227"/>
      <c r="M38" s="227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.75" thickBot="1" x14ac:dyDescent="0.3">
      <c r="A39" s="175" t="str">
        <f>A7</f>
        <v>Erable champêtre</v>
      </c>
      <c r="B39" s="5"/>
      <c r="C39" s="5"/>
      <c r="D39" s="5"/>
      <c r="E39" s="5"/>
      <c r="F39" s="5"/>
      <c r="G39" s="5"/>
      <c r="H39" s="5"/>
      <c r="I39" s="227"/>
      <c r="J39" s="227"/>
      <c r="K39" s="227"/>
      <c r="L39" s="227"/>
      <c r="M39" s="227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25">
      <c r="A40" s="5"/>
      <c r="B40" s="5"/>
      <c r="C40" s="5"/>
      <c r="D40" s="5"/>
      <c r="E40" s="5"/>
      <c r="F40" s="5"/>
      <c r="G40" s="5"/>
      <c r="H40" s="5"/>
      <c r="I40" s="227"/>
      <c r="J40" s="227"/>
      <c r="K40" s="227"/>
      <c r="L40" s="227"/>
      <c r="M40" s="227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25">
      <c r="A41" s="5"/>
      <c r="B41" s="5"/>
      <c r="C41" s="5"/>
      <c r="D41" s="5"/>
      <c r="E41" s="5"/>
      <c r="F41" s="5"/>
      <c r="G41" s="5"/>
      <c r="H41" s="5"/>
      <c r="I41" s="227"/>
      <c r="J41" s="227"/>
      <c r="K41" s="227"/>
      <c r="L41" s="227"/>
      <c r="M41" s="227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25">
      <c r="A42" s="5"/>
      <c r="B42" s="5"/>
      <c r="C42" s="5"/>
      <c r="D42" s="5"/>
      <c r="E42" s="5"/>
      <c r="F42" s="5"/>
      <c r="G42" s="5"/>
      <c r="H42" s="5"/>
      <c r="I42" s="227"/>
      <c r="J42" s="227"/>
      <c r="K42" s="227"/>
      <c r="L42" s="227"/>
      <c r="M42" s="227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25">
      <c r="A43" s="5"/>
      <c r="B43" s="5"/>
      <c r="C43" s="5"/>
      <c r="D43" s="5"/>
      <c r="E43" s="5"/>
      <c r="F43" s="5"/>
      <c r="G43" s="5"/>
      <c r="H43" s="5"/>
      <c r="I43" s="227"/>
      <c r="J43" s="227"/>
      <c r="K43" s="227"/>
      <c r="L43" s="227"/>
      <c r="M43" s="227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25">
      <c r="A44" s="5"/>
      <c r="B44" s="5"/>
      <c r="C44" s="5"/>
      <c r="D44" s="5"/>
      <c r="E44" s="5"/>
      <c r="F44" s="5"/>
      <c r="G44" s="5"/>
      <c r="H44" s="5"/>
      <c r="I44" s="227"/>
      <c r="J44" s="227"/>
      <c r="K44" s="227"/>
      <c r="L44" s="227"/>
      <c r="M44" s="227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25">
      <c r="A45" s="5"/>
      <c r="B45" s="5"/>
      <c r="C45" s="5"/>
      <c r="D45" s="5"/>
      <c r="E45" s="5"/>
      <c r="F45" s="5"/>
      <c r="G45" s="5"/>
      <c r="H45" s="5"/>
      <c r="I45" s="227"/>
      <c r="J45" s="227"/>
      <c r="K45" s="227"/>
      <c r="L45" s="227"/>
      <c r="M45" s="227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25">
      <c r="A46" s="5"/>
      <c r="B46" s="5"/>
      <c r="C46" s="5"/>
      <c r="D46" s="5"/>
      <c r="E46" s="5"/>
      <c r="F46" s="5"/>
      <c r="G46" s="5"/>
      <c r="H46" s="5"/>
      <c r="I46" s="227"/>
      <c r="J46" s="227"/>
      <c r="K46" s="227"/>
      <c r="L46" s="227"/>
      <c r="M46" s="227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25">
      <c r="A47" s="5"/>
      <c r="B47" s="5"/>
      <c r="C47" s="5"/>
      <c r="D47" s="5"/>
      <c r="E47" s="5"/>
      <c r="F47" s="5"/>
      <c r="G47" s="5"/>
      <c r="H47" s="5"/>
      <c r="I47" s="227"/>
      <c r="J47" s="227"/>
      <c r="K47" s="227"/>
      <c r="L47" s="227"/>
      <c r="M47" s="227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25">
      <c r="A48" s="5"/>
      <c r="B48" s="5"/>
      <c r="C48" s="5"/>
      <c r="D48" s="5"/>
      <c r="E48" s="5"/>
      <c r="F48" s="5"/>
      <c r="G48" s="5"/>
      <c r="H48" s="5"/>
      <c r="I48" s="227"/>
      <c r="J48" s="227"/>
      <c r="K48" s="227"/>
      <c r="L48" s="227"/>
      <c r="M48" s="227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25">
      <c r="A49" s="5"/>
      <c r="B49" s="5"/>
      <c r="C49" s="5"/>
      <c r="D49" s="5"/>
      <c r="E49" s="5"/>
      <c r="F49" s="5"/>
      <c r="G49" s="5"/>
      <c r="H49" s="5"/>
      <c r="I49" s="227"/>
      <c r="J49" s="227"/>
      <c r="K49" s="227"/>
      <c r="L49" s="227"/>
      <c r="M49" s="227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25">
      <c r="A50" s="5"/>
      <c r="B50" s="5"/>
      <c r="C50" s="5"/>
      <c r="D50" s="5"/>
      <c r="E50" s="5"/>
      <c r="F50" s="5"/>
      <c r="G50" s="5"/>
      <c r="H50" s="5"/>
      <c r="I50" s="227"/>
      <c r="J50" s="227"/>
      <c r="K50" s="227"/>
      <c r="L50" s="227"/>
      <c r="M50" s="227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25">
      <c r="A51" s="5"/>
      <c r="B51" s="5"/>
      <c r="C51" s="5"/>
      <c r="D51" s="5"/>
      <c r="E51" s="5"/>
      <c r="F51" s="5"/>
      <c r="G51" s="5"/>
      <c r="H51" s="5"/>
      <c r="I51" s="227"/>
      <c r="J51" s="227"/>
      <c r="K51" s="227"/>
      <c r="L51" s="227"/>
      <c r="M51" s="227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25">
      <c r="A52" s="5"/>
      <c r="B52" s="5"/>
      <c r="C52" s="5"/>
      <c r="D52" s="5"/>
      <c r="E52" s="5"/>
      <c r="F52" s="5"/>
      <c r="G52" s="5"/>
      <c r="H52" s="5"/>
      <c r="I52" s="227"/>
      <c r="J52" s="227"/>
      <c r="K52" s="227"/>
      <c r="L52" s="227"/>
      <c r="M52" s="227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25">
      <c r="A53" s="5"/>
      <c r="B53" s="5"/>
      <c r="C53" s="5"/>
      <c r="D53" s="5"/>
      <c r="E53" s="5"/>
      <c r="F53" s="5"/>
      <c r="G53" s="5"/>
      <c r="H53" s="5"/>
      <c r="I53" s="227"/>
      <c r="J53" s="227"/>
      <c r="K53" s="227"/>
      <c r="L53" s="227"/>
      <c r="M53" s="227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25">
      <c r="A54" s="5"/>
      <c r="B54" s="5"/>
      <c r="C54" s="5"/>
      <c r="D54" s="5"/>
      <c r="E54" s="5"/>
      <c r="F54" s="5"/>
      <c r="G54" s="5"/>
      <c r="H54" s="5"/>
      <c r="I54" s="227"/>
      <c r="J54" s="227"/>
      <c r="K54" s="227"/>
      <c r="L54" s="227"/>
      <c r="M54" s="227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25">
      <c r="A55" s="5"/>
      <c r="B55" s="5"/>
      <c r="C55" s="5"/>
      <c r="D55" s="5"/>
      <c r="E55" s="5"/>
      <c r="F55" s="5"/>
      <c r="G55" s="5"/>
      <c r="H55" s="5"/>
      <c r="I55" s="227"/>
      <c r="J55" s="227"/>
      <c r="K55" s="227"/>
      <c r="L55" s="227"/>
      <c r="M55" s="227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.75" thickBot="1" x14ac:dyDescent="0.3">
      <c r="A56" s="5"/>
      <c r="B56" s="5"/>
      <c r="C56" s="5"/>
      <c r="D56" s="5"/>
      <c r="E56" s="5"/>
      <c r="F56" s="5"/>
      <c r="G56" s="5"/>
      <c r="H56" s="5"/>
      <c r="I56" s="227"/>
      <c r="J56" s="227"/>
      <c r="K56" s="227"/>
      <c r="L56" s="227"/>
      <c r="M56" s="227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.75" thickBot="1" x14ac:dyDescent="0.3">
      <c r="A57" s="175" t="str">
        <f>A8</f>
        <v>Chêne sessile</v>
      </c>
      <c r="B57" s="5"/>
      <c r="C57" s="5"/>
      <c r="D57" s="5"/>
      <c r="E57" s="5"/>
      <c r="F57" s="5"/>
      <c r="G57" s="5"/>
      <c r="H57" s="5"/>
      <c r="I57" s="227"/>
      <c r="J57" s="227"/>
      <c r="K57" s="227"/>
      <c r="L57" s="227"/>
      <c r="M57" s="227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25">
      <c r="A58" s="5"/>
      <c r="B58" s="5"/>
      <c r="C58" s="5"/>
      <c r="D58" s="5"/>
      <c r="E58" s="5"/>
      <c r="F58" s="5"/>
      <c r="G58" s="5"/>
      <c r="H58" s="5"/>
      <c r="I58" s="227"/>
      <c r="J58" s="227"/>
      <c r="K58" s="227"/>
      <c r="L58" s="227"/>
      <c r="M58" s="227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25">
      <c r="A59" s="5"/>
      <c r="B59" s="5"/>
      <c r="C59" s="5"/>
      <c r="D59" s="5"/>
      <c r="E59" s="5"/>
      <c r="F59" s="5"/>
      <c r="G59" s="5"/>
      <c r="H59" s="5"/>
      <c r="I59" s="227"/>
      <c r="J59" s="227"/>
      <c r="K59" s="227"/>
      <c r="L59" s="227"/>
      <c r="M59" s="227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25">
      <c r="A60" s="5"/>
      <c r="B60" s="5"/>
      <c r="C60" s="5"/>
      <c r="D60" s="5"/>
      <c r="E60" s="5"/>
      <c r="F60" s="5"/>
      <c r="G60" s="5"/>
      <c r="H60" s="5"/>
      <c r="I60" s="227"/>
      <c r="J60" s="227"/>
      <c r="K60" s="227"/>
      <c r="L60" s="227"/>
      <c r="M60" s="227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25">
      <c r="A61" s="5"/>
      <c r="B61" s="5"/>
      <c r="C61" s="5"/>
      <c r="D61" s="5"/>
      <c r="E61" s="5"/>
      <c r="F61" s="5"/>
      <c r="G61" s="5"/>
      <c r="H61" s="5"/>
      <c r="I61" s="227"/>
      <c r="J61" s="227"/>
      <c r="K61" s="227"/>
      <c r="L61" s="227"/>
      <c r="M61" s="227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25">
      <c r="A62" s="5"/>
      <c r="B62" s="5"/>
      <c r="C62" s="5"/>
      <c r="D62" s="5"/>
      <c r="E62" s="5"/>
      <c r="F62" s="5"/>
      <c r="G62" s="5"/>
      <c r="H62" s="5"/>
      <c r="I62" s="227"/>
      <c r="J62" s="227"/>
      <c r="K62" s="227"/>
      <c r="L62" s="227"/>
      <c r="M62" s="227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25">
      <c r="A63" s="5"/>
      <c r="B63" s="5"/>
      <c r="C63" s="5"/>
      <c r="D63" s="5"/>
      <c r="E63" s="5"/>
      <c r="F63" s="5"/>
      <c r="G63" s="5"/>
      <c r="H63" s="5"/>
      <c r="I63" s="227"/>
      <c r="J63" s="227"/>
      <c r="K63" s="227"/>
      <c r="L63" s="227"/>
      <c r="M63" s="227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25">
      <c r="A64" s="5"/>
      <c r="B64" s="5"/>
      <c r="C64" s="5"/>
      <c r="D64" s="5"/>
      <c r="E64" s="5"/>
      <c r="F64" s="5"/>
      <c r="G64" s="5"/>
      <c r="H64" s="5"/>
      <c r="I64" s="227"/>
      <c r="J64" s="227"/>
      <c r="K64" s="227"/>
      <c r="L64" s="227"/>
      <c r="M64" s="227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25">
      <c r="A65" s="5"/>
      <c r="B65" s="5"/>
      <c r="C65" s="5"/>
      <c r="D65" s="5"/>
      <c r="E65" s="5"/>
      <c r="F65" s="5"/>
      <c r="G65" s="5"/>
      <c r="H65" s="5"/>
      <c r="I65" s="227"/>
      <c r="J65" s="227"/>
      <c r="K65" s="227"/>
      <c r="L65" s="227"/>
      <c r="M65" s="227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25">
      <c r="A66" s="5"/>
      <c r="B66" s="5"/>
      <c r="C66" s="5"/>
      <c r="D66" s="5"/>
      <c r="E66" s="5"/>
      <c r="F66" s="5"/>
      <c r="G66" s="5"/>
      <c r="H66" s="5"/>
      <c r="I66" s="227"/>
      <c r="J66" s="227"/>
      <c r="K66" s="227"/>
      <c r="L66" s="227"/>
      <c r="M66" s="227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25">
      <c r="A67" s="5"/>
      <c r="B67" s="5"/>
      <c r="C67" s="5"/>
      <c r="D67" s="5"/>
      <c r="E67" s="5"/>
      <c r="F67" s="5"/>
      <c r="G67" s="5"/>
      <c r="H67" s="5"/>
      <c r="I67" s="227"/>
      <c r="J67" s="227"/>
      <c r="K67" s="227"/>
      <c r="L67" s="227"/>
      <c r="M67" s="227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25">
      <c r="A68" s="5"/>
      <c r="B68" s="5"/>
      <c r="C68" s="5"/>
      <c r="D68" s="5"/>
      <c r="E68" s="5"/>
      <c r="F68" s="5"/>
      <c r="G68" s="5"/>
      <c r="H68" s="5"/>
      <c r="I68" s="227"/>
      <c r="J68" s="227"/>
      <c r="K68" s="227"/>
      <c r="L68" s="227"/>
      <c r="M68" s="227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25">
      <c r="A69" s="5"/>
      <c r="B69" s="5"/>
      <c r="C69" s="5"/>
      <c r="D69" s="5"/>
      <c r="E69" s="5"/>
      <c r="F69" s="5"/>
      <c r="G69" s="5"/>
      <c r="H69" s="5"/>
      <c r="I69" s="227"/>
      <c r="J69" s="227"/>
      <c r="K69" s="227"/>
      <c r="L69" s="227"/>
      <c r="M69" s="227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25">
      <c r="A70" s="5"/>
      <c r="B70" s="5"/>
      <c r="C70" s="5"/>
      <c r="D70" s="5"/>
      <c r="E70" s="5"/>
      <c r="F70" s="5"/>
      <c r="G70" s="5"/>
      <c r="H70" s="5"/>
      <c r="I70" s="227"/>
      <c r="J70" s="227"/>
      <c r="K70" s="227"/>
      <c r="L70" s="227"/>
      <c r="M70" s="227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25">
      <c r="A71" s="5"/>
      <c r="B71" s="5"/>
      <c r="C71" s="5"/>
      <c r="D71" s="5"/>
      <c r="E71" s="5"/>
      <c r="F71" s="5"/>
      <c r="G71" s="5"/>
      <c r="H71" s="5"/>
      <c r="I71" s="227"/>
      <c r="J71" s="227"/>
      <c r="K71" s="227"/>
      <c r="L71" s="227"/>
      <c r="M71" s="227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25">
      <c r="A72" s="5"/>
      <c r="B72" s="5"/>
      <c r="C72" s="5"/>
      <c r="D72" s="5"/>
      <c r="E72" s="5"/>
      <c r="F72" s="5"/>
      <c r="G72" s="5"/>
      <c r="H72" s="5"/>
      <c r="I72" s="227"/>
      <c r="J72" s="227"/>
      <c r="K72" s="227"/>
      <c r="L72" s="227"/>
      <c r="M72" s="227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25">
      <c r="A73" s="5"/>
      <c r="B73" s="5"/>
      <c r="C73" s="5"/>
      <c r="D73" s="5"/>
      <c r="E73" s="5"/>
      <c r="F73" s="5"/>
      <c r="G73" s="5"/>
      <c r="H73" s="5"/>
      <c r="I73" s="227"/>
      <c r="J73" s="227"/>
      <c r="K73" s="227"/>
      <c r="L73" s="227"/>
      <c r="M73" s="227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25">
      <c r="A74" s="5"/>
      <c r="B74" s="5"/>
      <c r="C74" s="5"/>
      <c r="D74" s="5"/>
      <c r="E74" s="5"/>
      <c r="F74" s="5"/>
      <c r="G74" s="5"/>
      <c r="H74" s="5"/>
      <c r="I74" s="227"/>
      <c r="J74" s="227"/>
      <c r="K74" s="227"/>
      <c r="L74" s="227"/>
      <c r="M74" s="227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.75" thickBot="1" x14ac:dyDescent="0.3">
      <c r="A75" s="5"/>
      <c r="B75" s="5"/>
      <c r="C75" s="5"/>
      <c r="D75" s="5"/>
      <c r="E75" s="5"/>
      <c r="F75" s="5"/>
      <c r="G75" s="5"/>
      <c r="H75" s="5"/>
      <c r="I75" s="227"/>
      <c r="J75" s="227"/>
      <c r="K75" s="227"/>
      <c r="L75" s="227"/>
      <c r="M75" s="227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.75" thickBot="1" x14ac:dyDescent="0.3">
      <c r="A76" s="175" t="str">
        <f>A9</f>
        <v>Chêne pubescent</v>
      </c>
      <c r="B76" s="5"/>
      <c r="C76" s="5"/>
      <c r="D76" s="5"/>
      <c r="E76" s="5"/>
      <c r="F76" s="5"/>
      <c r="G76" s="5"/>
      <c r="H76" s="5"/>
      <c r="I76" s="227"/>
      <c r="J76" s="227"/>
      <c r="K76" s="227"/>
      <c r="L76" s="227"/>
      <c r="M76" s="227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25">
      <c r="A77" s="5"/>
      <c r="B77" s="5"/>
      <c r="C77" s="5"/>
      <c r="D77" s="5"/>
      <c r="E77" s="5"/>
      <c r="F77" s="5"/>
      <c r="G77" s="5"/>
      <c r="H77" s="5"/>
      <c r="I77" s="227"/>
      <c r="J77" s="227"/>
      <c r="K77" s="227"/>
      <c r="L77" s="227"/>
      <c r="M77" s="227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25">
      <c r="A78" s="5"/>
      <c r="B78" s="5"/>
      <c r="C78" s="5"/>
      <c r="D78" s="5"/>
      <c r="E78" s="5"/>
      <c r="F78" s="5"/>
      <c r="G78" s="5"/>
      <c r="H78" s="5"/>
      <c r="I78" s="227"/>
      <c r="J78" s="227"/>
      <c r="K78" s="227"/>
      <c r="L78" s="227"/>
      <c r="M78" s="227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25">
      <c r="A79" s="5"/>
      <c r="B79" s="5"/>
      <c r="C79" s="5"/>
      <c r="D79" s="5"/>
      <c r="E79" s="5"/>
      <c r="F79" s="5"/>
      <c r="G79" s="5"/>
      <c r="H79" s="5"/>
      <c r="I79" s="227"/>
      <c r="J79" s="227"/>
      <c r="K79" s="227"/>
      <c r="L79" s="227"/>
      <c r="M79" s="227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25">
      <c r="A80" s="5"/>
      <c r="B80" s="5"/>
      <c r="C80" s="5"/>
      <c r="D80" s="5"/>
      <c r="E80" s="5"/>
      <c r="F80" s="5"/>
      <c r="G80" s="5"/>
      <c r="H80" s="5"/>
      <c r="I80" s="227"/>
      <c r="J80" s="227"/>
      <c r="K80" s="227"/>
      <c r="L80" s="227"/>
      <c r="M80" s="227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25">
      <c r="A81" s="5"/>
      <c r="B81" s="5"/>
      <c r="C81" s="5"/>
      <c r="D81" s="5"/>
      <c r="E81" s="5"/>
      <c r="F81" s="5"/>
      <c r="G81" s="5"/>
      <c r="H81" s="5"/>
      <c r="I81" s="227"/>
      <c r="J81" s="227"/>
      <c r="K81" s="227"/>
      <c r="L81" s="227"/>
      <c r="M81" s="227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25">
      <c r="A82" s="5"/>
      <c r="B82" s="5"/>
      <c r="C82" s="5"/>
      <c r="D82" s="5"/>
      <c r="E82" s="5"/>
      <c r="F82" s="5"/>
      <c r="G82" s="5"/>
      <c r="H82" s="5"/>
      <c r="I82" s="227"/>
      <c r="J82" s="227"/>
      <c r="K82" s="227"/>
      <c r="L82" s="227"/>
      <c r="M82" s="227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25">
      <c r="A83" s="5"/>
      <c r="B83" s="5"/>
      <c r="C83" s="5"/>
      <c r="D83" s="5"/>
      <c r="E83" s="5"/>
      <c r="F83" s="5"/>
      <c r="G83" s="5"/>
      <c r="H83" s="5"/>
      <c r="I83" s="227"/>
      <c r="J83" s="227"/>
      <c r="K83" s="227"/>
      <c r="L83" s="227"/>
      <c r="M83" s="227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25">
      <c r="A84" s="5"/>
      <c r="B84" s="5"/>
      <c r="C84" s="5"/>
      <c r="D84" s="5"/>
      <c r="E84" s="5"/>
      <c r="F84" s="5"/>
      <c r="G84" s="5"/>
      <c r="H84" s="5"/>
      <c r="I84" s="227"/>
      <c r="J84" s="227"/>
      <c r="K84" s="227"/>
      <c r="L84" s="227"/>
      <c r="M84" s="227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25">
      <c r="A85" s="5"/>
      <c r="B85" s="5"/>
      <c r="C85" s="5"/>
      <c r="D85" s="5"/>
      <c r="E85" s="5"/>
      <c r="F85" s="5"/>
      <c r="G85" s="5"/>
      <c r="H85" s="5"/>
      <c r="I85" s="227"/>
      <c r="J85" s="227"/>
      <c r="K85" s="227"/>
      <c r="L85" s="227"/>
      <c r="M85" s="227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25">
      <c r="A86" s="5"/>
      <c r="B86" s="5"/>
      <c r="C86" s="5"/>
      <c r="D86" s="5"/>
      <c r="E86" s="5"/>
      <c r="F86" s="5"/>
      <c r="G86" s="5"/>
      <c r="H86" s="5"/>
      <c r="I86" s="227"/>
      <c r="J86" s="227"/>
      <c r="K86" s="227"/>
      <c r="L86" s="227"/>
      <c r="M86" s="227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25">
      <c r="A87" s="5"/>
      <c r="B87" s="5"/>
      <c r="C87" s="5"/>
      <c r="D87" s="5"/>
      <c r="E87" s="5"/>
      <c r="F87" s="5"/>
      <c r="G87" s="5"/>
      <c r="H87" s="5"/>
      <c r="I87" s="227"/>
      <c r="J87" s="227"/>
      <c r="K87" s="227"/>
      <c r="L87" s="227"/>
      <c r="M87" s="227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25">
      <c r="A88" s="5"/>
      <c r="B88" s="5"/>
      <c r="C88" s="5"/>
      <c r="D88" s="5"/>
      <c r="E88" s="5"/>
      <c r="F88" s="5"/>
      <c r="G88" s="5"/>
      <c r="H88" s="5"/>
      <c r="I88" s="227"/>
      <c r="J88" s="227"/>
      <c r="K88" s="227"/>
      <c r="L88" s="227"/>
      <c r="M88" s="227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25">
      <c r="A89" s="5"/>
      <c r="B89" s="5"/>
      <c r="C89" s="5"/>
      <c r="D89" s="5"/>
      <c r="E89" s="5"/>
      <c r="F89" s="5"/>
      <c r="G89" s="5"/>
      <c r="H89" s="5"/>
      <c r="I89" s="227"/>
      <c r="J89" s="227"/>
      <c r="K89" s="227"/>
      <c r="L89" s="227"/>
      <c r="M89" s="227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25">
      <c r="A90" s="5"/>
      <c r="B90" s="5"/>
      <c r="C90" s="5"/>
      <c r="D90" s="5"/>
      <c r="E90" s="5"/>
      <c r="F90" s="5"/>
      <c r="G90" s="5"/>
      <c r="H90" s="5"/>
      <c r="I90" s="227"/>
      <c r="J90" s="227"/>
      <c r="K90" s="227"/>
      <c r="L90" s="227"/>
      <c r="M90" s="227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25">
      <c r="A91" s="5"/>
      <c r="B91" s="5"/>
      <c r="C91" s="5"/>
      <c r="D91" s="5"/>
      <c r="E91" s="5"/>
      <c r="F91" s="5"/>
      <c r="G91" s="5"/>
      <c r="H91" s="5"/>
      <c r="I91" s="227"/>
      <c r="J91" s="227"/>
      <c r="K91" s="227"/>
      <c r="L91" s="227"/>
      <c r="M91" s="227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25">
      <c r="A92" s="5"/>
      <c r="B92" s="5"/>
      <c r="C92" s="5"/>
      <c r="D92" s="5"/>
      <c r="E92" s="5"/>
      <c r="F92" s="5"/>
      <c r="G92" s="5"/>
      <c r="H92" s="5"/>
      <c r="I92" s="227"/>
      <c r="J92" s="227"/>
      <c r="K92" s="227"/>
      <c r="L92" s="227"/>
      <c r="M92" s="227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.75" thickBot="1" x14ac:dyDescent="0.3">
      <c r="A93" s="5"/>
      <c r="B93" s="5"/>
      <c r="C93" s="5"/>
      <c r="D93" s="5"/>
      <c r="E93" s="5"/>
      <c r="F93" s="5"/>
      <c r="G93" s="5"/>
      <c r="H93" s="5"/>
      <c r="I93" s="227"/>
      <c r="J93" s="227"/>
      <c r="K93" s="227"/>
      <c r="L93" s="227"/>
      <c r="M93" s="227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.75" thickBot="1" x14ac:dyDescent="0.3">
      <c r="A94" s="175" t="str">
        <f>A10</f>
        <v>Cormier</v>
      </c>
      <c r="B94" s="5"/>
      <c r="C94" s="5"/>
      <c r="D94" s="5"/>
      <c r="E94" s="5"/>
      <c r="F94" s="5"/>
      <c r="G94" s="5"/>
      <c r="H94" s="5"/>
      <c r="I94" s="227"/>
      <c r="J94" s="227"/>
      <c r="K94" s="227"/>
      <c r="L94" s="227"/>
      <c r="M94" s="227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25">
      <c r="A95" s="5"/>
      <c r="B95" s="5"/>
      <c r="C95" s="5"/>
      <c r="D95" s="5"/>
      <c r="E95" s="5"/>
      <c r="F95" s="5"/>
      <c r="G95" s="5"/>
      <c r="H95" s="5"/>
      <c r="I95" s="227"/>
      <c r="J95" s="227"/>
      <c r="K95" s="227"/>
      <c r="L95" s="227"/>
      <c r="M95" s="227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25">
      <c r="A96" s="5"/>
      <c r="B96" s="5"/>
      <c r="C96" s="5"/>
      <c r="D96" s="5"/>
      <c r="E96" s="5"/>
      <c r="F96" s="5"/>
      <c r="G96" s="5"/>
      <c r="H96" s="5"/>
      <c r="I96" s="227"/>
      <c r="J96" s="227"/>
      <c r="K96" s="227"/>
      <c r="L96" s="227"/>
      <c r="M96" s="227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25">
      <c r="A97" s="5"/>
      <c r="B97" s="5"/>
      <c r="C97" s="5"/>
      <c r="D97" s="5"/>
      <c r="E97" s="5"/>
      <c r="F97" s="5"/>
      <c r="G97" s="5"/>
      <c r="H97" s="5"/>
      <c r="I97" s="227"/>
      <c r="J97" s="227"/>
      <c r="K97" s="227"/>
      <c r="L97" s="227"/>
      <c r="M97" s="227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25">
      <c r="A98" s="5"/>
      <c r="B98" s="5"/>
      <c r="C98" s="5"/>
      <c r="D98" s="5"/>
      <c r="E98" s="5"/>
      <c r="F98" s="5"/>
      <c r="G98" s="5"/>
      <c r="H98" s="5"/>
      <c r="I98" s="227"/>
      <c r="J98" s="227"/>
      <c r="K98" s="227"/>
      <c r="L98" s="227"/>
      <c r="M98" s="227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25">
      <c r="A99" s="5"/>
      <c r="B99" s="5"/>
      <c r="C99" s="5"/>
      <c r="D99" s="5"/>
      <c r="E99" s="5"/>
      <c r="F99" s="5"/>
      <c r="G99" s="5"/>
      <c r="H99" s="5"/>
      <c r="I99" s="227"/>
      <c r="J99" s="227"/>
      <c r="K99" s="227"/>
      <c r="L99" s="227"/>
      <c r="M99" s="227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25">
      <c r="A100" s="5"/>
      <c r="B100" s="5"/>
      <c r="C100" s="5"/>
      <c r="D100" s="5"/>
      <c r="E100" s="5"/>
      <c r="F100" s="5"/>
      <c r="G100" s="5"/>
      <c r="H100" s="5"/>
      <c r="I100" s="227"/>
      <c r="J100" s="227"/>
      <c r="K100" s="227"/>
      <c r="L100" s="227"/>
      <c r="M100" s="227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25">
      <c r="A101" s="5"/>
      <c r="B101" s="5"/>
      <c r="C101" s="5"/>
      <c r="D101" s="5"/>
      <c r="E101" s="5"/>
      <c r="F101" s="5"/>
      <c r="G101" s="5"/>
      <c r="H101" s="5"/>
      <c r="I101" s="227"/>
      <c r="J101" s="227"/>
      <c r="K101" s="227"/>
      <c r="L101" s="227"/>
      <c r="M101" s="227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25">
      <c r="A102" s="5"/>
      <c r="B102" s="5"/>
      <c r="C102" s="5"/>
      <c r="D102" s="5"/>
      <c r="E102" s="5"/>
      <c r="F102" s="5"/>
      <c r="G102" s="5"/>
      <c r="H102" s="5"/>
      <c r="I102" s="227"/>
      <c r="J102" s="227"/>
      <c r="K102" s="227"/>
      <c r="L102" s="227"/>
      <c r="M102" s="227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25">
      <c r="A103" s="5"/>
      <c r="B103" s="5"/>
      <c r="C103" s="5"/>
      <c r="D103" s="5"/>
      <c r="E103" s="5"/>
      <c r="F103" s="5"/>
      <c r="G103" s="5"/>
      <c r="H103" s="5"/>
      <c r="I103" s="227"/>
      <c r="J103" s="227"/>
      <c r="K103" s="227"/>
      <c r="L103" s="227"/>
      <c r="M103" s="227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25">
      <c r="A104" s="5"/>
      <c r="B104" s="5"/>
      <c r="C104" s="5"/>
      <c r="D104" s="5"/>
      <c r="E104" s="5"/>
      <c r="F104" s="5"/>
      <c r="G104" s="5"/>
      <c r="H104" s="5"/>
      <c r="I104" s="227"/>
      <c r="J104" s="227"/>
      <c r="K104" s="227"/>
      <c r="L104" s="227"/>
      <c r="M104" s="227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25">
      <c r="A105" s="5"/>
      <c r="B105" s="5"/>
      <c r="C105" s="5"/>
      <c r="D105" s="5"/>
      <c r="E105" s="5"/>
      <c r="F105" s="5"/>
      <c r="G105" s="5"/>
      <c r="H105" s="5"/>
      <c r="I105" s="227"/>
      <c r="J105" s="227"/>
      <c r="K105" s="227"/>
      <c r="L105" s="227"/>
      <c r="M105" s="227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25">
      <c r="A106" s="5"/>
      <c r="B106" s="5"/>
      <c r="C106" s="5"/>
      <c r="D106" s="5"/>
      <c r="E106" s="5"/>
      <c r="F106" s="5"/>
      <c r="G106" s="5"/>
      <c r="H106" s="5"/>
      <c r="I106" s="227"/>
      <c r="J106" s="227"/>
      <c r="K106" s="227"/>
      <c r="L106" s="227"/>
      <c r="M106" s="227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25">
      <c r="A107" s="5"/>
      <c r="B107" s="5"/>
      <c r="C107" s="5"/>
      <c r="D107" s="5"/>
      <c r="E107" s="5"/>
      <c r="F107" s="5"/>
      <c r="G107" s="5"/>
      <c r="H107" s="5"/>
      <c r="I107" s="227"/>
      <c r="J107" s="227"/>
      <c r="K107" s="227"/>
      <c r="L107" s="227"/>
      <c r="M107" s="227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25">
      <c r="A108" s="5"/>
      <c r="B108" s="5"/>
      <c r="C108" s="5"/>
      <c r="D108" s="5"/>
      <c r="E108" s="5"/>
      <c r="F108" s="5"/>
      <c r="G108" s="5"/>
      <c r="H108" s="5"/>
      <c r="I108" s="227"/>
      <c r="J108" s="227"/>
      <c r="K108" s="227"/>
      <c r="L108" s="227"/>
      <c r="M108" s="227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25">
      <c r="A109" s="5"/>
      <c r="B109" s="5"/>
      <c r="C109" s="5"/>
      <c r="D109" s="5"/>
      <c r="E109" s="5"/>
      <c r="F109" s="5"/>
      <c r="G109" s="5"/>
      <c r="H109" s="5"/>
      <c r="I109" s="227"/>
      <c r="J109" s="227"/>
      <c r="K109" s="227"/>
      <c r="L109" s="227"/>
      <c r="M109" s="227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25">
      <c r="A110" s="5"/>
      <c r="B110" s="5"/>
      <c r="C110" s="5"/>
      <c r="D110" s="5"/>
      <c r="E110" s="5"/>
      <c r="F110" s="5"/>
      <c r="G110" s="5"/>
      <c r="H110" s="5"/>
      <c r="I110" s="227"/>
      <c r="J110" s="227"/>
      <c r="K110" s="227"/>
      <c r="L110" s="227"/>
      <c r="M110" s="227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.75" thickBot="1" x14ac:dyDescent="0.3">
      <c r="A111" s="5"/>
      <c r="B111" s="5"/>
      <c r="C111" s="5"/>
      <c r="D111" s="5"/>
      <c r="E111" s="5"/>
      <c r="F111" s="5"/>
      <c r="G111" s="5"/>
      <c r="H111" s="5"/>
      <c r="I111" s="227"/>
      <c r="J111" s="227"/>
      <c r="K111" s="227"/>
      <c r="L111" s="227"/>
      <c r="M111" s="227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.75" thickBot="1" x14ac:dyDescent="0.3">
      <c r="A112" s="175" t="str">
        <f>A11</f>
        <v>Alisier torminal</v>
      </c>
      <c r="B112" s="5"/>
      <c r="C112" s="5"/>
      <c r="D112" s="5"/>
      <c r="E112" s="5"/>
      <c r="F112" s="5"/>
      <c r="G112" s="5"/>
      <c r="H112" s="5"/>
      <c r="I112" s="227"/>
      <c r="J112" s="227"/>
      <c r="K112" s="227"/>
      <c r="L112" s="227"/>
      <c r="M112" s="227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25">
      <c r="A113" s="5"/>
      <c r="B113" s="5"/>
      <c r="C113" s="5"/>
      <c r="D113" s="5"/>
      <c r="E113" s="5"/>
      <c r="F113" s="5"/>
      <c r="G113" s="5"/>
      <c r="H113" s="5"/>
      <c r="I113" s="227"/>
      <c r="J113" s="227"/>
      <c r="K113" s="227"/>
      <c r="L113" s="227"/>
      <c r="M113" s="227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25">
      <c r="A114" s="5"/>
      <c r="B114" s="5"/>
      <c r="C114" s="5"/>
      <c r="D114" s="5"/>
      <c r="E114" s="5"/>
      <c r="F114" s="5"/>
      <c r="G114" s="5"/>
      <c r="H114" s="5"/>
      <c r="I114" s="227"/>
      <c r="J114" s="227"/>
      <c r="K114" s="227"/>
      <c r="L114" s="227"/>
      <c r="M114" s="227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25">
      <c r="A115" s="5"/>
      <c r="B115" s="5"/>
      <c r="C115" s="5"/>
      <c r="D115" s="5"/>
      <c r="E115" s="5"/>
      <c r="F115" s="5"/>
      <c r="G115" s="5"/>
      <c r="H115" s="5"/>
      <c r="I115" s="227"/>
      <c r="J115" s="227"/>
      <c r="K115" s="227"/>
      <c r="L115" s="227"/>
      <c r="M115" s="227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25">
      <c r="A116" s="5"/>
      <c r="B116" s="5"/>
      <c r="C116" s="5"/>
      <c r="D116" s="5"/>
      <c r="E116" s="5"/>
      <c r="F116" s="5"/>
      <c r="G116" s="5"/>
      <c r="H116" s="5"/>
      <c r="I116" s="227"/>
      <c r="J116" s="227"/>
      <c r="K116" s="227"/>
      <c r="L116" s="227"/>
      <c r="M116" s="227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25">
      <c r="A117" s="5"/>
      <c r="B117" s="5"/>
      <c r="C117" s="5"/>
      <c r="D117" s="5"/>
      <c r="E117" s="5"/>
      <c r="F117" s="5"/>
      <c r="G117" s="5"/>
      <c r="H117" s="5"/>
      <c r="I117" s="227"/>
      <c r="J117" s="227"/>
      <c r="K117" s="227"/>
      <c r="L117" s="227"/>
      <c r="M117" s="227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25">
      <c r="A118" s="5"/>
      <c r="B118" s="5"/>
      <c r="C118" s="5"/>
      <c r="D118" s="5"/>
      <c r="E118" s="5"/>
      <c r="F118" s="5"/>
      <c r="G118" s="5"/>
      <c r="H118" s="5"/>
      <c r="I118" s="227"/>
      <c r="J118" s="227"/>
      <c r="K118" s="227"/>
      <c r="L118" s="227"/>
      <c r="M118" s="227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25">
      <c r="A119" s="5"/>
      <c r="B119" s="5"/>
      <c r="C119" s="5"/>
      <c r="D119" s="5"/>
      <c r="E119" s="5"/>
      <c r="F119" s="5"/>
      <c r="G119" s="5"/>
      <c r="H119" s="5"/>
      <c r="I119" s="227"/>
      <c r="J119" s="227"/>
      <c r="K119" s="227"/>
      <c r="L119" s="227"/>
      <c r="M119" s="227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25">
      <c r="A120" s="5"/>
      <c r="B120" s="5"/>
      <c r="C120" s="5"/>
      <c r="D120" s="5"/>
      <c r="E120" s="5"/>
      <c r="F120" s="5"/>
      <c r="G120" s="5"/>
      <c r="H120" s="5"/>
      <c r="I120" s="227"/>
      <c r="J120" s="227"/>
      <c r="K120" s="227"/>
      <c r="L120" s="227"/>
      <c r="M120" s="227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25">
      <c r="A121" s="5"/>
      <c r="B121" s="5"/>
      <c r="C121" s="5"/>
      <c r="D121" s="5"/>
      <c r="E121" s="5"/>
      <c r="F121" s="5"/>
      <c r="G121" s="5"/>
      <c r="H121" s="5"/>
      <c r="I121" s="227"/>
      <c r="J121" s="227"/>
      <c r="K121" s="227"/>
      <c r="L121" s="227"/>
      <c r="M121" s="227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25">
      <c r="A122" s="5"/>
      <c r="B122" s="5"/>
      <c r="C122" s="5"/>
      <c r="D122" s="5"/>
      <c r="E122" s="5"/>
      <c r="F122" s="5"/>
      <c r="G122" s="5"/>
      <c r="H122" s="5"/>
      <c r="I122" s="227"/>
      <c r="J122" s="227"/>
      <c r="K122" s="227"/>
      <c r="L122" s="227"/>
      <c r="M122" s="227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25">
      <c r="A123" s="5"/>
      <c r="B123" s="5"/>
      <c r="C123" s="5"/>
      <c r="D123" s="5"/>
      <c r="E123" s="5"/>
      <c r="F123" s="5"/>
      <c r="G123" s="5"/>
      <c r="H123" s="5"/>
      <c r="I123" s="227"/>
      <c r="J123" s="227"/>
      <c r="K123" s="227"/>
      <c r="L123" s="227"/>
      <c r="M123" s="227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25">
      <c r="A124" s="5"/>
      <c r="B124" s="5"/>
      <c r="C124" s="5"/>
      <c r="D124" s="5"/>
      <c r="E124" s="5"/>
      <c r="F124" s="5"/>
      <c r="G124" s="5"/>
      <c r="H124" s="5"/>
      <c r="I124" s="227"/>
      <c r="J124" s="227"/>
      <c r="K124" s="227"/>
      <c r="L124" s="227"/>
      <c r="M124" s="227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25">
      <c r="A125" s="5"/>
      <c r="B125" s="5"/>
      <c r="C125" s="5"/>
      <c r="D125" s="5"/>
      <c r="E125" s="5"/>
      <c r="F125" s="5"/>
      <c r="G125" s="5"/>
      <c r="H125" s="5"/>
      <c r="I125" s="227"/>
      <c r="J125" s="227"/>
      <c r="K125" s="227"/>
      <c r="L125" s="227"/>
      <c r="M125" s="227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25">
      <c r="A126" s="5"/>
      <c r="B126" s="5"/>
      <c r="C126" s="5"/>
      <c r="D126" s="5"/>
      <c r="E126" s="5"/>
      <c r="F126" s="5"/>
      <c r="G126" s="5"/>
      <c r="H126" s="5"/>
      <c r="I126" s="227"/>
      <c r="J126" s="227"/>
      <c r="K126" s="227"/>
      <c r="L126" s="227"/>
      <c r="M126" s="227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25">
      <c r="A127" s="5"/>
      <c r="B127" s="5"/>
      <c r="C127" s="5"/>
      <c r="D127" s="5"/>
      <c r="E127" s="5"/>
      <c r="F127" s="5"/>
      <c r="G127" s="5"/>
      <c r="H127" s="5"/>
      <c r="I127" s="227"/>
      <c r="J127" s="227"/>
      <c r="K127" s="227"/>
      <c r="L127" s="227"/>
      <c r="M127" s="227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25">
      <c r="A128" s="5"/>
      <c r="B128" s="5"/>
      <c r="C128" s="5"/>
      <c r="D128" s="5"/>
      <c r="E128" s="5"/>
      <c r="F128" s="5"/>
      <c r="G128" s="5"/>
      <c r="H128" s="5"/>
      <c r="I128" s="227"/>
      <c r="J128" s="227"/>
      <c r="K128" s="227"/>
      <c r="L128" s="227"/>
      <c r="M128" s="227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.75" thickBot="1" x14ac:dyDescent="0.3">
      <c r="A129" s="5"/>
      <c r="B129" s="5"/>
      <c r="C129" s="5"/>
      <c r="D129" s="5"/>
      <c r="E129" s="5"/>
      <c r="F129" s="5"/>
      <c r="G129" s="5"/>
      <c r="H129" s="5"/>
      <c r="I129" s="227"/>
      <c r="J129" s="227"/>
      <c r="K129" s="227"/>
      <c r="L129" s="227"/>
      <c r="M129" s="227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.75" thickBot="1" x14ac:dyDescent="0.3">
      <c r="A130" s="175" t="str">
        <f>A12</f>
        <v>Merisier</v>
      </c>
      <c r="B130" s="5"/>
      <c r="C130" s="5"/>
      <c r="D130" s="5"/>
      <c r="E130" s="5"/>
      <c r="F130" s="5"/>
      <c r="G130" s="5"/>
      <c r="H130" s="5"/>
      <c r="I130" s="227"/>
      <c r="J130" s="227"/>
      <c r="K130" s="227"/>
      <c r="L130" s="227"/>
      <c r="M130" s="227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25">
      <c r="A131" s="5"/>
      <c r="B131" s="5"/>
      <c r="C131" s="5"/>
      <c r="D131" s="5"/>
      <c r="E131" s="5"/>
      <c r="F131" s="5"/>
      <c r="G131" s="5"/>
      <c r="H131" s="5"/>
      <c r="I131" s="227"/>
      <c r="J131" s="227"/>
      <c r="K131" s="227"/>
      <c r="L131" s="227"/>
      <c r="M131" s="227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25">
      <c r="A132" s="5"/>
      <c r="B132" s="5"/>
      <c r="C132" s="5"/>
      <c r="D132" s="5"/>
      <c r="E132" s="5"/>
      <c r="F132" s="5"/>
      <c r="G132" s="5"/>
      <c r="H132" s="5"/>
      <c r="I132" s="227"/>
      <c r="J132" s="227"/>
      <c r="K132" s="227"/>
      <c r="L132" s="227"/>
      <c r="M132" s="227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25">
      <c r="A133" s="5"/>
      <c r="B133" s="5"/>
      <c r="C133" s="5"/>
      <c r="D133" s="5"/>
      <c r="E133" s="5"/>
      <c r="F133" s="5"/>
      <c r="G133" s="5"/>
      <c r="H133" s="5"/>
      <c r="I133" s="227"/>
      <c r="J133" s="227"/>
      <c r="K133" s="227"/>
      <c r="L133" s="227"/>
      <c r="M133" s="227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25">
      <c r="A134" s="5"/>
      <c r="B134" s="5"/>
      <c r="C134" s="5"/>
      <c r="D134" s="5"/>
      <c r="E134" s="5"/>
      <c r="F134" s="5"/>
      <c r="G134" s="5"/>
      <c r="H134" s="5"/>
      <c r="I134" s="227"/>
      <c r="J134" s="227"/>
      <c r="K134" s="227"/>
      <c r="L134" s="227"/>
      <c r="M134" s="227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25">
      <c r="A135" s="5"/>
      <c r="B135" s="5"/>
      <c r="C135" s="5"/>
      <c r="D135" s="5"/>
      <c r="E135" s="5"/>
      <c r="F135" s="5"/>
      <c r="G135" s="5"/>
      <c r="H135" s="5"/>
      <c r="I135" s="227"/>
      <c r="J135" s="227"/>
      <c r="K135" s="227"/>
      <c r="L135" s="227"/>
      <c r="M135" s="227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25">
      <c r="A136" s="5"/>
      <c r="B136" s="5"/>
      <c r="C136" s="5"/>
      <c r="D136" s="5"/>
      <c r="E136" s="5"/>
      <c r="F136" s="5"/>
      <c r="G136" s="5"/>
      <c r="H136" s="5"/>
      <c r="I136" s="227"/>
      <c r="J136" s="227"/>
      <c r="K136" s="227"/>
      <c r="L136" s="227"/>
      <c r="M136" s="227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25">
      <c r="A137" s="5"/>
      <c r="B137" s="5"/>
      <c r="C137" s="5"/>
      <c r="D137" s="5"/>
      <c r="E137" s="5"/>
      <c r="F137" s="5"/>
      <c r="G137" s="5"/>
      <c r="H137" s="5"/>
      <c r="I137" s="227"/>
      <c r="J137" s="227"/>
      <c r="K137" s="227"/>
      <c r="L137" s="227"/>
      <c r="M137" s="227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25">
      <c r="A138" s="5"/>
      <c r="B138" s="5"/>
      <c r="C138" s="5"/>
      <c r="D138" s="5"/>
      <c r="E138" s="5"/>
      <c r="F138" s="5"/>
      <c r="G138" s="5"/>
      <c r="H138" s="5"/>
      <c r="I138" s="227"/>
      <c r="J138" s="227"/>
      <c r="K138" s="227"/>
      <c r="L138" s="227"/>
      <c r="M138" s="227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25">
      <c r="A139" s="5"/>
      <c r="B139" s="5"/>
      <c r="C139" s="5"/>
      <c r="D139" s="5"/>
      <c r="E139" s="5"/>
      <c r="F139" s="5"/>
      <c r="G139" s="5"/>
      <c r="H139" s="5"/>
      <c r="I139" s="227"/>
      <c r="J139" s="227"/>
      <c r="K139" s="227"/>
      <c r="L139" s="227"/>
      <c r="M139" s="227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25">
      <c r="A140" s="5"/>
      <c r="B140" s="5"/>
      <c r="C140" s="5"/>
      <c r="D140" s="5"/>
      <c r="E140" s="5"/>
      <c r="F140" s="5"/>
      <c r="G140" s="5"/>
      <c r="H140" s="5"/>
      <c r="I140" s="227"/>
      <c r="J140" s="227"/>
      <c r="K140" s="227"/>
      <c r="L140" s="227"/>
      <c r="M140" s="227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25">
      <c r="A141" s="5"/>
      <c r="B141" s="5"/>
      <c r="C141" s="5"/>
      <c r="D141" s="5"/>
      <c r="E141" s="5"/>
      <c r="F141" s="5"/>
      <c r="G141" s="5"/>
      <c r="H141" s="5"/>
      <c r="I141" s="227"/>
      <c r="J141" s="227"/>
      <c r="K141" s="227"/>
      <c r="L141" s="227"/>
      <c r="M141" s="227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25">
      <c r="A142" s="5"/>
      <c r="B142" s="5"/>
      <c r="C142" s="5"/>
      <c r="D142" s="5"/>
      <c r="E142" s="5"/>
      <c r="F142" s="5"/>
      <c r="G142" s="5"/>
      <c r="H142" s="5"/>
      <c r="I142" s="227"/>
      <c r="J142" s="227"/>
      <c r="K142" s="227"/>
      <c r="L142" s="227"/>
      <c r="M142" s="227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25">
      <c r="A143" s="5"/>
      <c r="B143" s="5"/>
      <c r="C143" s="5"/>
      <c r="D143" s="5"/>
      <c r="E143" s="5"/>
      <c r="F143" s="5"/>
      <c r="G143" s="5"/>
      <c r="H143" s="5"/>
      <c r="I143" s="227"/>
      <c r="J143" s="227"/>
      <c r="K143" s="227"/>
      <c r="L143" s="227"/>
      <c r="M143" s="227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25">
      <c r="A144" s="5"/>
      <c r="B144" s="5"/>
      <c r="C144" s="5"/>
      <c r="D144" s="5"/>
      <c r="E144" s="5"/>
      <c r="F144" s="5"/>
      <c r="G144" s="5"/>
      <c r="H144" s="5"/>
      <c r="I144" s="227"/>
      <c r="J144" s="227"/>
      <c r="K144" s="227"/>
      <c r="L144" s="227"/>
      <c r="M144" s="227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25">
      <c r="A145" s="5"/>
      <c r="B145" s="5"/>
      <c r="C145" s="5"/>
      <c r="D145" s="5"/>
      <c r="E145" s="5"/>
      <c r="F145" s="5"/>
      <c r="G145" s="5"/>
      <c r="H145" s="5"/>
      <c r="I145" s="227"/>
      <c r="J145" s="227"/>
      <c r="K145" s="227"/>
      <c r="L145" s="227"/>
      <c r="M145" s="227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25">
      <c r="A146" s="5"/>
      <c r="B146" s="5"/>
      <c r="C146" s="5"/>
      <c r="D146" s="5"/>
      <c r="E146" s="5"/>
      <c r="F146" s="5"/>
      <c r="G146" s="5"/>
      <c r="H146" s="5"/>
      <c r="I146" s="227"/>
      <c r="J146" s="227"/>
      <c r="K146" s="227"/>
      <c r="L146" s="227"/>
      <c r="M146" s="227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.75" thickBot="1" x14ac:dyDescent="0.3">
      <c r="A147" s="5"/>
      <c r="B147" s="5"/>
      <c r="C147" s="5"/>
      <c r="D147" s="5"/>
      <c r="E147" s="5"/>
      <c r="F147" s="5"/>
      <c r="G147" s="5"/>
      <c r="H147" s="5"/>
      <c r="I147" s="227"/>
      <c r="J147" s="227"/>
      <c r="K147" s="227"/>
      <c r="L147" s="227"/>
      <c r="M147" s="227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.75" thickBot="1" x14ac:dyDescent="0.3">
      <c r="A148" s="175" t="str">
        <f>A13</f>
        <v/>
      </c>
      <c r="B148" s="5"/>
      <c r="C148" s="5"/>
      <c r="D148" s="5"/>
      <c r="E148" s="5"/>
      <c r="F148" s="5"/>
      <c r="G148" s="5"/>
      <c r="H148" s="5"/>
      <c r="I148" s="227"/>
      <c r="J148" s="227"/>
      <c r="K148" s="227"/>
      <c r="L148" s="227"/>
      <c r="M148" s="227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25">
      <c r="A149" s="5"/>
      <c r="B149" s="5"/>
      <c r="C149" s="5"/>
      <c r="D149" s="5"/>
      <c r="E149" s="5"/>
      <c r="F149" s="5"/>
      <c r="G149" s="5"/>
      <c r="H149" s="5"/>
      <c r="I149" s="227"/>
      <c r="J149" s="227"/>
      <c r="K149" s="227"/>
      <c r="L149" s="227"/>
      <c r="M149" s="227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25">
      <c r="A150" s="5"/>
      <c r="B150" s="5"/>
      <c r="C150" s="5"/>
      <c r="D150" s="5"/>
      <c r="E150" s="5"/>
      <c r="F150" s="5"/>
      <c r="G150" s="5"/>
      <c r="H150" s="5"/>
      <c r="I150" s="227"/>
      <c r="J150" s="227"/>
      <c r="K150" s="227"/>
      <c r="L150" s="227"/>
      <c r="M150" s="227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25">
      <c r="A151" s="5"/>
      <c r="B151" s="5"/>
      <c r="C151" s="5"/>
      <c r="D151" s="5"/>
      <c r="E151" s="5"/>
      <c r="F151" s="5"/>
      <c r="G151" s="5"/>
      <c r="H151" s="5"/>
      <c r="I151" s="227"/>
      <c r="J151" s="227"/>
      <c r="K151" s="227"/>
      <c r="L151" s="227"/>
      <c r="M151" s="227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25">
      <c r="A152" s="5"/>
      <c r="B152" s="5"/>
      <c r="C152" s="5"/>
      <c r="D152" s="5"/>
      <c r="E152" s="5"/>
      <c r="F152" s="5"/>
      <c r="G152" s="5"/>
      <c r="H152" s="5"/>
      <c r="I152" s="227"/>
      <c r="J152" s="227"/>
      <c r="K152" s="227"/>
      <c r="L152" s="227"/>
      <c r="M152" s="227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25">
      <c r="A153" s="5"/>
      <c r="B153" s="5"/>
      <c r="C153" s="5"/>
      <c r="D153" s="5"/>
      <c r="E153" s="5"/>
      <c r="F153" s="5"/>
      <c r="G153" s="5"/>
      <c r="H153" s="5"/>
      <c r="I153" s="227"/>
      <c r="J153" s="227"/>
      <c r="K153" s="227"/>
      <c r="L153" s="227"/>
      <c r="M153" s="227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25">
      <c r="A154" s="5"/>
      <c r="B154" s="5"/>
      <c r="C154" s="5"/>
      <c r="D154" s="5"/>
      <c r="E154" s="5"/>
      <c r="F154" s="5"/>
      <c r="G154" s="5"/>
      <c r="H154" s="5"/>
      <c r="I154" s="227"/>
      <c r="J154" s="227"/>
      <c r="K154" s="227"/>
      <c r="L154" s="227"/>
      <c r="M154" s="227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25">
      <c r="A155" s="5"/>
      <c r="B155" s="5"/>
      <c r="C155" s="5"/>
      <c r="D155" s="5"/>
      <c r="E155" s="5"/>
      <c r="F155" s="5"/>
      <c r="G155" s="5"/>
      <c r="H155" s="5"/>
      <c r="I155" s="227"/>
      <c r="J155" s="227"/>
      <c r="K155" s="227"/>
      <c r="L155" s="227"/>
      <c r="M155" s="227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25">
      <c r="A156" s="5"/>
      <c r="B156" s="5"/>
      <c r="C156" s="5"/>
      <c r="D156" s="5"/>
      <c r="E156" s="5"/>
      <c r="F156" s="5"/>
      <c r="G156" s="5"/>
      <c r="H156" s="5"/>
      <c r="I156" s="227"/>
      <c r="J156" s="227"/>
      <c r="K156" s="227"/>
      <c r="L156" s="227"/>
      <c r="M156" s="227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25">
      <c r="A157" s="5"/>
      <c r="B157" s="5"/>
      <c r="C157" s="5"/>
      <c r="D157" s="5"/>
      <c r="E157" s="5"/>
      <c r="F157" s="5"/>
      <c r="G157" s="5"/>
      <c r="H157" s="5"/>
      <c r="I157" s="227"/>
      <c r="J157" s="227"/>
      <c r="K157" s="227"/>
      <c r="L157" s="227"/>
      <c r="M157" s="227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25">
      <c r="A158" s="5"/>
      <c r="B158" s="5"/>
      <c r="C158" s="5"/>
      <c r="D158" s="5"/>
      <c r="E158" s="5"/>
      <c r="F158" s="5"/>
      <c r="G158" s="5"/>
      <c r="H158" s="5"/>
      <c r="I158" s="227"/>
      <c r="J158" s="227"/>
      <c r="K158" s="227"/>
      <c r="L158" s="227"/>
      <c r="M158" s="227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25">
      <c r="A159" s="5"/>
      <c r="B159" s="5"/>
      <c r="C159" s="5"/>
      <c r="D159" s="5"/>
      <c r="E159" s="5"/>
      <c r="F159" s="5"/>
      <c r="G159" s="5"/>
      <c r="H159" s="5"/>
      <c r="I159" s="227"/>
      <c r="J159" s="227"/>
      <c r="K159" s="227"/>
      <c r="L159" s="227"/>
      <c r="M159" s="227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25">
      <c r="A160" s="5"/>
      <c r="B160" s="5"/>
      <c r="C160" s="5"/>
      <c r="D160" s="5"/>
      <c r="E160" s="5"/>
      <c r="F160" s="5"/>
      <c r="G160" s="5"/>
      <c r="H160" s="5"/>
      <c r="I160" s="227"/>
      <c r="J160" s="227"/>
      <c r="K160" s="227"/>
      <c r="L160" s="227"/>
      <c r="M160" s="227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25">
      <c r="A161" s="5"/>
      <c r="B161" s="5"/>
      <c r="C161" s="5"/>
      <c r="D161" s="5"/>
      <c r="E161" s="5"/>
      <c r="F161" s="5"/>
      <c r="G161" s="5"/>
      <c r="H161" s="5"/>
      <c r="I161" s="227"/>
      <c r="J161" s="227"/>
      <c r="K161" s="227"/>
      <c r="L161" s="227"/>
      <c r="M161" s="227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25">
      <c r="A162" s="5"/>
      <c r="B162" s="5"/>
      <c r="C162" s="5"/>
      <c r="D162" s="5"/>
      <c r="E162" s="5"/>
      <c r="F162" s="5"/>
      <c r="G162" s="5"/>
      <c r="H162" s="5"/>
      <c r="I162" s="227"/>
      <c r="J162" s="227"/>
      <c r="K162" s="227"/>
      <c r="L162" s="227"/>
      <c r="M162" s="227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25">
      <c r="A163" s="5"/>
      <c r="B163" s="5"/>
      <c r="C163" s="5"/>
      <c r="D163" s="5"/>
      <c r="E163" s="5"/>
      <c r="F163" s="5"/>
      <c r="G163" s="5"/>
      <c r="H163" s="5"/>
      <c r="I163" s="227"/>
      <c r="J163" s="227"/>
      <c r="K163" s="227"/>
      <c r="L163" s="227"/>
      <c r="M163" s="227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25">
      <c r="A164" s="5"/>
      <c r="B164" s="5"/>
      <c r="C164" s="5"/>
      <c r="D164" s="5"/>
      <c r="E164" s="5"/>
      <c r="F164" s="5"/>
      <c r="G164" s="5"/>
      <c r="H164" s="5"/>
      <c r="I164" s="227"/>
      <c r="J164" s="227"/>
      <c r="K164" s="227"/>
      <c r="L164" s="227"/>
      <c r="M164" s="227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.75" thickBot="1" x14ac:dyDescent="0.3">
      <c r="A165" s="5"/>
      <c r="B165" s="5"/>
      <c r="C165" s="5"/>
      <c r="D165" s="5"/>
      <c r="E165" s="5"/>
      <c r="F165" s="5"/>
      <c r="G165" s="5"/>
      <c r="H165" s="5"/>
      <c r="I165" s="227"/>
      <c r="J165" s="227"/>
      <c r="K165" s="227"/>
      <c r="L165" s="227"/>
      <c r="M165" s="227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.75" thickBot="1" x14ac:dyDescent="0.3">
      <c r="A166" s="175" t="str">
        <f>A14</f>
        <v/>
      </c>
      <c r="B166" s="5"/>
      <c r="C166" s="5"/>
      <c r="D166" s="5"/>
      <c r="E166" s="5"/>
      <c r="F166" s="5"/>
      <c r="G166" s="5"/>
      <c r="H166" s="5"/>
      <c r="I166" s="227"/>
      <c r="J166" s="227"/>
      <c r="K166" s="227"/>
      <c r="L166" s="227"/>
      <c r="M166" s="227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25">
      <c r="A167" s="5"/>
      <c r="B167" s="5"/>
      <c r="C167" s="5"/>
      <c r="D167" s="5"/>
      <c r="E167" s="5"/>
      <c r="F167" s="5"/>
      <c r="G167" s="5"/>
      <c r="H167" s="5"/>
      <c r="I167" s="227"/>
      <c r="J167" s="227"/>
      <c r="K167" s="227"/>
      <c r="L167" s="227"/>
      <c r="M167" s="227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25">
      <c r="A168" s="5"/>
      <c r="B168" s="5"/>
      <c r="C168" s="5"/>
      <c r="D168" s="5"/>
      <c r="E168" s="5"/>
      <c r="F168" s="5"/>
      <c r="G168" s="5"/>
      <c r="H168" s="5"/>
      <c r="I168" s="227"/>
      <c r="J168" s="227"/>
      <c r="K168" s="227"/>
      <c r="L168" s="227"/>
      <c r="M168" s="227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25">
      <c r="A169" s="5"/>
      <c r="B169" s="5"/>
      <c r="C169" s="5"/>
      <c r="D169" s="5"/>
      <c r="E169" s="5"/>
      <c r="F169" s="5"/>
      <c r="G169" s="5"/>
      <c r="H169" s="5"/>
      <c r="I169" s="227"/>
      <c r="J169" s="227"/>
      <c r="K169" s="227"/>
      <c r="L169" s="227"/>
      <c r="M169" s="227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25">
      <c r="A170" s="5"/>
      <c r="B170" s="5"/>
      <c r="C170" s="5"/>
      <c r="D170" s="5"/>
      <c r="E170" s="5"/>
      <c r="F170" s="5"/>
      <c r="G170" s="5"/>
      <c r="H170" s="5"/>
      <c r="I170" s="227"/>
      <c r="J170" s="227"/>
      <c r="K170" s="227"/>
      <c r="L170" s="227"/>
      <c r="M170" s="227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25">
      <c r="A171" s="5"/>
      <c r="B171" s="5"/>
      <c r="C171" s="5"/>
      <c r="D171" s="5"/>
      <c r="E171" s="5"/>
      <c r="F171" s="5"/>
      <c r="G171" s="5"/>
      <c r="H171" s="5"/>
      <c r="I171" s="227"/>
      <c r="J171" s="227"/>
      <c r="K171" s="227"/>
      <c r="L171" s="227"/>
      <c r="M171" s="227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25">
      <c r="A172" s="5"/>
      <c r="B172" s="5"/>
      <c r="C172" s="5"/>
      <c r="D172" s="5"/>
      <c r="E172" s="5"/>
      <c r="F172" s="5"/>
      <c r="G172" s="5"/>
      <c r="H172" s="5"/>
      <c r="I172" s="227"/>
      <c r="J172" s="227"/>
      <c r="K172" s="227"/>
      <c r="L172" s="227"/>
      <c r="M172" s="227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25">
      <c r="A173" s="5"/>
      <c r="B173" s="5"/>
      <c r="C173" s="5"/>
      <c r="D173" s="5"/>
      <c r="E173" s="5"/>
      <c r="F173" s="5"/>
      <c r="G173" s="5"/>
      <c r="H173" s="5"/>
      <c r="I173" s="227"/>
      <c r="J173" s="227"/>
      <c r="K173" s="227"/>
      <c r="L173" s="227"/>
      <c r="M173" s="227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25">
      <c r="A174" s="5"/>
      <c r="B174" s="5"/>
      <c r="C174" s="5"/>
      <c r="D174" s="5"/>
      <c r="E174" s="5"/>
      <c r="F174" s="5"/>
      <c r="G174" s="5"/>
      <c r="H174" s="5"/>
      <c r="I174" s="227"/>
      <c r="J174" s="227"/>
      <c r="K174" s="227"/>
      <c r="L174" s="227"/>
      <c r="M174" s="227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25">
      <c r="A175" s="5"/>
      <c r="B175" s="5"/>
      <c r="C175" s="5"/>
      <c r="D175" s="5"/>
      <c r="E175" s="5"/>
      <c r="F175" s="5"/>
      <c r="G175" s="5"/>
      <c r="H175" s="5"/>
      <c r="I175" s="227"/>
      <c r="J175" s="227"/>
      <c r="K175" s="227"/>
      <c r="L175" s="227"/>
      <c r="M175" s="227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25">
      <c r="A176" s="5"/>
      <c r="B176" s="5"/>
      <c r="C176" s="5"/>
      <c r="D176" s="5"/>
      <c r="E176" s="5"/>
      <c r="F176" s="5"/>
      <c r="G176" s="5"/>
      <c r="H176" s="5"/>
      <c r="I176" s="227"/>
      <c r="J176" s="227"/>
      <c r="K176" s="227"/>
      <c r="L176" s="227"/>
      <c r="M176" s="227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25">
      <c r="A177" s="5"/>
      <c r="B177" s="5"/>
      <c r="C177" s="5"/>
      <c r="D177" s="5"/>
      <c r="E177" s="5"/>
      <c r="F177" s="5"/>
      <c r="G177" s="5"/>
      <c r="H177" s="5"/>
      <c r="I177" s="227"/>
      <c r="J177" s="227"/>
      <c r="K177" s="227"/>
      <c r="L177" s="227"/>
      <c r="M177" s="227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25">
      <c r="A178" s="5"/>
      <c r="B178" s="5"/>
      <c r="C178" s="5"/>
      <c r="D178" s="5"/>
      <c r="E178" s="5"/>
      <c r="F178" s="5"/>
      <c r="G178" s="5"/>
      <c r="H178" s="5"/>
      <c r="I178" s="227"/>
      <c r="J178" s="227"/>
      <c r="K178" s="227"/>
      <c r="L178" s="227"/>
      <c r="M178" s="227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25">
      <c r="A179" s="5"/>
      <c r="B179" s="5"/>
      <c r="C179" s="5"/>
      <c r="D179" s="5"/>
      <c r="E179" s="5"/>
      <c r="F179" s="5"/>
      <c r="G179" s="5"/>
      <c r="H179" s="5"/>
      <c r="I179" s="227"/>
      <c r="J179" s="227"/>
      <c r="K179" s="227"/>
      <c r="L179" s="227"/>
      <c r="M179" s="227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25">
      <c r="A180" s="5"/>
      <c r="B180" s="5"/>
      <c r="C180" s="5"/>
      <c r="D180" s="5"/>
      <c r="E180" s="5"/>
      <c r="F180" s="5"/>
      <c r="G180" s="5"/>
      <c r="H180" s="5"/>
      <c r="I180" s="227"/>
      <c r="J180" s="227"/>
      <c r="K180" s="227"/>
      <c r="L180" s="227"/>
      <c r="M180" s="227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25">
      <c r="A181" s="5"/>
      <c r="B181" s="5"/>
      <c r="C181" s="5"/>
      <c r="D181" s="5"/>
      <c r="E181" s="5"/>
      <c r="F181" s="5"/>
      <c r="G181" s="5"/>
      <c r="H181" s="5"/>
      <c r="I181" s="227"/>
      <c r="J181" s="227"/>
      <c r="K181" s="227"/>
      <c r="L181" s="227"/>
      <c r="M181" s="227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25">
      <c r="A182" s="5"/>
      <c r="B182" s="5"/>
      <c r="C182" s="5"/>
      <c r="D182" s="5"/>
      <c r="E182" s="5"/>
      <c r="F182" s="5"/>
      <c r="G182" s="5"/>
      <c r="H182" s="5"/>
      <c r="I182" s="227"/>
      <c r="J182" s="227"/>
      <c r="K182" s="227"/>
      <c r="L182" s="227"/>
      <c r="M182" s="227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.75" thickBot="1" x14ac:dyDescent="0.3">
      <c r="A183" s="5"/>
      <c r="B183" s="5"/>
      <c r="C183" s="5"/>
      <c r="D183" s="5"/>
      <c r="E183" s="5"/>
      <c r="F183" s="5"/>
      <c r="G183" s="5"/>
      <c r="H183" s="5"/>
      <c r="I183" s="227"/>
      <c r="J183" s="227"/>
      <c r="K183" s="227"/>
      <c r="L183" s="227"/>
      <c r="M183" s="227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.75" thickBot="1" x14ac:dyDescent="0.3">
      <c r="A184" s="175" t="str">
        <f>A15</f>
        <v/>
      </c>
      <c r="B184" s="5"/>
      <c r="C184" s="5"/>
      <c r="D184" s="5"/>
      <c r="E184" s="5"/>
      <c r="F184" s="5"/>
      <c r="G184" s="5"/>
      <c r="H184" s="5"/>
      <c r="I184" s="227"/>
      <c r="J184" s="227"/>
      <c r="K184" s="227"/>
      <c r="L184" s="227"/>
      <c r="M184" s="227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25">
      <c r="A185" s="5"/>
      <c r="B185" s="5"/>
      <c r="C185" s="5"/>
      <c r="D185" s="5"/>
      <c r="E185" s="5"/>
      <c r="F185" s="5"/>
      <c r="G185" s="5"/>
      <c r="H185" s="5"/>
      <c r="I185" s="227"/>
      <c r="J185" s="227"/>
      <c r="K185" s="227"/>
      <c r="L185" s="227"/>
      <c r="M185" s="227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25">
      <c r="A186" s="5"/>
      <c r="B186" s="5"/>
      <c r="C186" s="5"/>
      <c r="D186" s="5"/>
      <c r="E186" s="5"/>
      <c r="F186" s="5"/>
      <c r="G186" s="5"/>
      <c r="H186" s="5"/>
      <c r="I186" s="227"/>
      <c r="J186" s="227"/>
      <c r="K186" s="227"/>
      <c r="L186" s="227"/>
      <c r="M186" s="227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25">
      <c r="A187" s="5"/>
      <c r="B187" s="5"/>
      <c r="C187" s="5"/>
      <c r="D187" s="5"/>
      <c r="E187" s="5"/>
      <c r="F187" s="5"/>
      <c r="G187" s="5"/>
      <c r="H187" s="5"/>
      <c r="I187" s="227"/>
      <c r="J187" s="227"/>
      <c r="K187" s="227"/>
      <c r="L187" s="227"/>
      <c r="M187" s="227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25">
      <c r="A188" s="5"/>
      <c r="B188" s="5"/>
      <c r="C188" s="5"/>
      <c r="D188" s="5"/>
      <c r="E188" s="5"/>
      <c r="F188" s="5"/>
      <c r="G188" s="5"/>
      <c r="H188" s="5"/>
      <c r="I188" s="227"/>
      <c r="J188" s="227"/>
      <c r="K188" s="227"/>
      <c r="L188" s="227"/>
      <c r="M188" s="227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25">
      <c r="A189" s="5"/>
      <c r="B189" s="5"/>
      <c r="C189" s="5"/>
      <c r="D189" s="5"/>
      <c r="E189" s="5"/>
      <c r="F189" s="5"/>
      <c r="G189" s="5"/>
      <c r="H189" s="5"/>
      <c r="I189" s="227"/>
      <c r="J189" s="227"/>
      <c r="K189" s="227"/>
      <c r="L189" s="227"/>
      <c r="M189" s="227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25">
      <c r="A190" s="5"/>
      <c r="B190" s="5"/>
      <c r="C190" s="5"/>
      <c r="D190" s="5"/>
      <c r="E190" s="5"/>
      <c r="F190" s="5"/>
      <c r="G190" s="5"/>
      <c r="H190" s="5"/>
      <c r="I190" s="227"/>
      <c r="J190" s="227"/>
      <c r="K190" s="227"/>
      <c r="L190" s="227"/>
      <c r="M190" s="227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25">
      <c r="A191" s="5"/>
      <c r="B191" s="5"/>
      <c r="C191" s="5"/>
      <c r="D191" s="5"/>
      <c r="E191" s="5"/>
      <c r="F191" s="5"/>
      <c r="G191" s="5"/>
      <c r="H191" s="5"/>
      <c r="I191" s="227"/>
      <c r="J191" s="227"/>
      <c r="K191" s="227"/>
      <c r="L191" s="227"/>
      <c r="M191" s="227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25">
      <c r="A192" s="5"/>
      <c r="B192" s="5"/>
      <c r="C192" s="5"/>
      <c r="D192" s="5"/>
      <c r="E192" s="5"/>
      <c r="F192" s="5"/>
      <c r="G192" s="5"/>
      <c r="H192" s="5"/>
      <c r="I192" s="227"/>
      <c r="J192" s="227"/>
      <c r="K192" s="227"/>
      <c r="L192" s="227"/>
      <c r="M192" s="227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25">
      <c r="A193" s="5"/>
      <c r="B193" s="5"/>
      <c r="C193" s="5"/>
      <c r="D193" s="5"/>
      <c r="E193" s="5"/>
      <c r="F193" s="5"/>
      <c r="G193" s="5"/>
      <c r="H193" s="5"/>
      <c r="I193" s="227"/>
      <c r="J193" s="227"/>
      <c r="K193" s="227"/>
      <c r="L193" s="227"/>
      <c r="M193" s="227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25">
      <c r="A194" s="5"/>
      <c r="B194" s="5"/>
      <c r="C194" s="5"/>
      <c r="D194" s="5"/>
      <c r="E194" s="5"/>
      <c r="F194" s="5"/>
      <c r="G194" s="5"/>
      <c r="H194" s="5"/>
      <c r="I194" s="227"/>
      <c r="J194" s="227"/>
      <c r="K194" s="227"/>
      <c r="L194" s="227"/>
      <c r="M194" s="227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25">
      <c r="A195" s="5"/>
      <c r="B195" s="5"/>
      <c r="C195" s="5"/>
      <c r="D195" s="5"/>
      <c r="E195" s="5"/>
      <c r="F195" s="5"/>
      <c r="G195" s="5"/>
      <c r="H195" s="5"/>
      <c r="I195" s="227"/>
      <c r="J195" s="227"/>
      <c r="K195" s="227"/>
      <c r="L195" s="227"/>
      <c r="M195" s="227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25">
      <c r="A196" s="5"/>
      <c r="B196" s="5"/>
      <c r="C196" s="5"/>
      <c r="D196" s="5"/>
      <c r="E196" s="5"/>
      <c r="F196" s="5"/>
      <c r="G196" s="5"/>
      <c r="H196" s="5"/>
      <c r="I196" s="227"/>
      <c r="J196" s="227"/>
      <c r="K196" s="227"/>
      <c r="L196" s="227"/>
      <c r="M196" s="227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25">
      <c r="A197" s="5"/>
      <c r="B197" s="5"/>
      <c r="C197" s="5"/>
      <c r="D197" s="5"/>
      <c r="E197" s="5"/>
      <c r="F197" s="5"/>
      <c r="G197" s="5"/>
      <c r="H197" s="5"/>
      <c r="I197" s="227"/>
      <c r="J197" s="227"/>
      <c r="K197" s="227"/>
      <c r="L197" s="227"/>
      <c r="M197" s="227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25">
      <c r="A198" s="5"/>
      <c r="B198" s="5"/>
      <c r="C198" s="5"/>
      <c r="D198" s="5"/>
      <c r="E198" s="5"/>
      <c r="F198" s="5"/>
      <c r="G198" s="5"/>
      <c r="H198" s="5"/>
      <c r="I198" s="227"/>
      <c r="J198" s="227"/>
      <c r="K198" s="227"/>
      <c r="L198" s="227"/>
      <c r="M198" s="227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25">
      <c r="A199" s="5"/>
      <c r="B199" s="5"/>
      <c r="C199" s="5"/>
      <c r="D199" s="5"/>
      <c r="E199" s="5"/>
      <c r="F199" s="5"/>
      <c r="G199" s="5"/>
      <c r="H199" s="5"/>
      <c r="I199" s="227"/>
      <c r="J199" s="227"/>
      <c r="K199" s="227"/>
      <c r="L199" s="227"/>
      <c r="M199" s="227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25">
      <c r="A200" s="5"/>
      <c r="B200" s="5"/>
      <c r="C200" s="5"/>
      <c r="D200" s="5"/>
      <c r="E200" s="5"/>
      <c r="F200" s="5"/>
      <c r="G200" s="5"/>
      <c r="H200" s="5"/>
      <c r="I200" s="227"/>
      <c r="J200" s="227"/>
      <c r="K200" s="227"/>
      <c r="L200" s="227"/>
      <c r="M200" s="227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25">
      <c r="A201" s="5"/>
      <c r="B201" s="5"/>
      <c r="C201" s="5"/>
      <c r="D201" s="5"/>
      <c r="E201" s="5"/>
      <c r="F201" s="5"/>
      <c r="G201" s="5"/>
      <c r="H201" s="5"/>
      <c r="I201" s="227"/>
      <c r="J201" s="227"/>
      <c r="K201" s="227"/>
      <c r="L201" s="227"/>
      <c r="M201" s="227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25">
      <c r="A202" s="5"/>
      <c r="B202" s="5"/>
      <c r="C202" s="5"/>
      <c r="D202" s="5"/>
      <c r="E202" s="5"/>
      <c r="F202" s="5"/>
      <c r="G202" s="5"/>
      <c r="H202" s="5"/>
      <c r="I202" s="227"/>
      <c r="J202" s="227"/>
      <c r="K202" s="227"/>
      <c r="L202" s="227"/>
      <c r="M202" s="227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25">
      <c r="A203" s="5"/>
      <c r="B203" s="5"/>
      <c r="C203" s="5"/>
      <c r="D203" s="5"/>
      <c r="E203" s="5"/>
      <c r="F203" s="5"/>
      <c r="G203" s="5"/>
      <c r="H203" s="5"/>
      <c r="I203" s="68"/>
      <c r="J203" s="68"/>
      <c r="K203" s="68"/>
      <c r="L203" s="68"/>
      <c r="M203" s="227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25">
      <c r="A204" s="5"/>
      <c r="B204" s="5"/>
      <c r="C204" s="5"/>
      <c r="D204" s="5"/>
      <c r="E204" s="5"/>
      <c r="F204" s="5"/>
      <c r="G204" s="5"/>
      <c r="H204" s="5"/>
      <c r="I204" s="68"/>
      <c r="J204" s="68"/>
      <c r="K204" s="68"/>
      <c r="L204" s="68"/>
      <c r="M204" s="68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25">
      <c r="A205" s="5"/>
      <c r="B205" s="5"/>
      <c r="C205" s="5"/>
      <c r="D205" s="5"/>
      <c r="E205" s="5"/>
      <c r="F205" s="5"/>
      <c r="G205" s="5"/>
      <c r="H205" s="5"/>
      <c r="I205" s="68"/>
      <c r="J205" s="68"/>
      <c r="K205" s="68"/>
      <c r="L205" s="68"/>
      <c r="M205" s="68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25">
      <c r="A206" s="5"/>
      <c r="B206" s="5"/>
      <c r="C206" s="5"/>
      <c r="D206" s="5"/>
      <c r="E206" s="5"/>
      <c r="F206" s="5"/>
      <c r="G206" s="5"/>
      <c r="H206" s="5"/>
      <c r="I206" s="68"/>
      <c r="J206" s="68"/>
      <c r="K206" s="68"/>
      <c r="L206" s="68"/>
      <c r="M206" s="68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25">
      <c r="A207" s="5"/>
      <c r="B207" s="5"/>
      <c r="C207" s="5"/>
      <c r="D207" s="5"/>
      <c r="E207" s="5"/>
      <c r="F207" s="5"/>
      <c r="G207" s="5"/>
      <c r="H207" s="5"/>
      <c r="I207" s="68"/>
      <c r="J207" s="68"/>
      <c r="K207" s="68"/>
      <c r="L207" s="68"/>
      <c r="M207" s="68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25">
      <c r="A208" s="5"/>
      <c r="B208" s="5"/>
      <c r="C208" s="5"/>
      <c r="D208" s="5"/>
      <c r="E208" s="5"/>
      <c r="F208" s="5"/>
      <c r="G208" s="5"/>
      <c r="H208" s="5"/>
      <c r="I208" s="68"/>
      <c r="J208" s="68"/>
      <c r="K208" s="68"/>
      <c r="L208" s="68"/>
      <c r="M208" s="68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25">
      <c r="A209" s="5"/>
      <c r="B209" s="5"/>
      <c r="C209" s="5"/>
      <c r="D209" s="5"/>
      <c r="E209" s="5"/>
      <c r="F209" s="5"/>
      <c r="G209" s="5"/>
      <c r="H209" s="5"/>
      <c r="I209" s="68"/>
      <c r="J209" s="68"/>
      <c r="K209" s="68"/>
      <c r="L209" s="68"/>
      <c r="M209" s="68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25">
      <c r="A210" s="5"/>
      <c r="B210" s="5"/>
      <c r="C210" s="5"/>
      <c r="D210" s="5"/>
      <c r="E210" s="5"/>
      <c r="F210" s="5"/>
      <c r="G210" s="5"/>
      <c r="H210" s="5"/>
      <c r="I210" s="68"/>
      <c r="J210" s="68"/>
      <c r="K210" s="68"/>
      <c r="L210" s="68"/>
      <c r="M210" s="68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25">
      <c r="A211" s="5"/>
      <c r="B211" s="5"/>
      <c r="C211" s="5"/>
      <c r="D211" s="5"/>
      <c r="E211" s="5"/>
      <c r="F211" s="5"/>
      <c r="G211" s="5"/>
      <c r="H211" s="5"/>
      <c r="I211" s="68"/>
      <c r="J211" s="68"/>
      <c r="K211" s="68"/>
      <c r="L211" s="68"/>
      <c r="M211" s="68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25">
      <c r="A212" s="5"/>
      <c r="B212" s="5"/>
      <c r="C212" s="5"/>
      <c r="D212" s="5"/>
      <c r="E212" s="5"/>
      <c r="F212" s="5"/>
      <c r="G212" s="5"/>
      <c r="H212" s="5"/>
      <c r="I212" s="68"/>
      <c r="J212" s="68"/>
      <c r="K212" s="68"/>
      <c r="L212" s="68"/>
      <c r="M212" s="68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25">
      <c r="A213" s="5"/>
      <c r="B213" s="5"/>
      <c r="C213" s="5"/>
      <c r="D213" s="5"/>
      <c r="E213" s="5"/>
      <c r="F213" s="5"/>
      <c r="G213" s="5"/>
      <c r="H213" s="5"/>
      <c r="I213" s="68"/>
      <c r="J213" s="68"/>
      <c r="K213" s="68"/>
      <c r="L213" s="68"/>
      <c r="M213" s="68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25">
      <c r="A214" s="5"/>
      <c r="B214" s="5"/>
      <c r="C214" s="5"/>
      <c r="D214" s="5"/>
      <c r="E214" s="5"/>
      <c r="F214" s="5"/>
      <c r="G214" s="5"/>
      <c r="H214" s="5"/>
      <c r="I214" s="68"/>
      <c r="J214" s="68"/>
      <c r="K214" s="68"/>
      <c r="L214" s="68"/>
      <c r="M214" s="68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25">
      <c r="A215" s="5"/>
      <c r="B215" s="5"/>
      <c r="C215" s="5"/>
      <c r="D215" s="5"/>
      <c r="E215" s="5"/>
      <c r="F215" s="5"/>
      <c r="G215" s="5"/>
      <c r="H215" s="5"/>
      <c r="I215" s="68"/>
      <c r="J215" s="68"/>
      <c r="K215" s="68"/>
      <c r="L215" s="68"/>
      <c r="M215" s="68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25">
      <c r="A216" s="5"/>
      <c r="B216" s="5"/>
      <c r="C216" s="5"/>
      <c r="D216" s="5"/>
      <c r="E216" s="5"/>
      <c r="F216" s="5"/>
      <c r="G216" s="5"/>
      <c r="H216" s="5"/>
      <c r="I216" s="68"/>
      <c r="J216" s="68"/>
      <c r="K216" s="68"/>
      <c r="L216" s="68"/>
      <c r="M216" s="68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25">
      <c r="A217" s="5"/>
      <c r="B217" s="5"/>
      <c r="C217" s="5"/>
      <c r="D217" s="5"/>
      <c r="E217" s="5"/>
      <c r="F217" s="5"/>
      <c r="G217" s="5"/>
      <c r="H217" s="5"/>
      <c r="I217" s="68"/>
      <c r="J217" s="68"/>
      <c r="K217" s="68"/>
      <c r="L217" s="68"/>
      <c r="M217" s="68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25">
      <c r="A218" s="5"/>
      <c r="B218" s="5"/>
      <c r="C218" s="5"/>
      <c r="D218" s="5"/>
      <c r="E218" s="5"/>
      <c r="F218" s="5"/>
      <c r="G218" s="5"/>
      <c r="H218" s="5"/>
      <c r="I218" s="68"/>
      <c r="J218" s="68"/>
      <c r="K218" s="68"/>
      <c r="L218" s="68"/>
      <c r="M218" s="68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25">
      <c r="A219" s="5"/>
      <c r="B219" s="5"/>
      <c r="C219" s="5"/>
      <c r="D219" s="5"/>
      <c r="E219" s="5"/>
      <c r="F219" s="5"/>
      <c r="G219" s="5"/>
      <c r="H219" s="5"/>
      <c r="I219" s="68"/>
      <c r="J219" s="68"/>
      <c r="K219" s="68"/>
      <c r="L219" s="68"/>
      <c r="M219" s="68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25">
      <c r="A220" s="5"/>
      <c r="B220" s="5"/>
      <c r="C220" s="5"/>
      <c r="D220" s="5"/>
      <c r="E220" s="5"/>
      <c r="F220" s="5"/>
      <c r="G220" s="5"/>
      <c r="H220" s="5"/>
      <c r="I220" s="68"/>
      <c r="J220" s="68"/>
      <c r="K220" s="68"/>
      <c r="L220" s="68"/>
      <c r="M220" s="68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25">
      <c r="A221" s="5"/>
      <c r="B221" s="5"/>
      <c r="C221" s="5"/>
      <c r="D221" s="5"/>
      <c r="E221" s="5"/>
      <c r="F221" s="5"/>
      <c r="G221" s="5"/>
      <c r="H221" s="5"/>
      <c r="I221" s="68"/>
      <c r="J221" s="68"/>
      <c r="K221" s="68"/>
      <c r="L221" s="68"/>
      <c r="M221" s="68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25">
      <c r="A222" s="5"/>
      <c r="B222" s="5"/>
      <c r="C222" s="5"/>
      <c r="D222" s="5"/>
      <c r="E222" s="5"/>
      <c r="F222" s="5"/>
      <c r="G222" s="5"/>
      <c r="H222" s="5"/>
      <c r="I222" s="68"/>
      <c r="J222" s="68"/>
      <c r="K222" s="68"/>
      <c r="L222" s="68"/>
      <c r="M222" s="68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25">
      <c r="A223" s="5"/>
      <c r="B223" s="5"/>
      <c r="C223" s="5"/>
      <c r="D223" s="5"/>
      <c r="E223" s="5"/>
      <c r="F223" s="5"/>
      <c r="G223" s="5"/>
      <c r="H223" s="5"/>
      <c r="I223" s="68"/>
      <c r="J223" s="68"/>
      <c r="K223" s="68"/>
      <c r="L223" s="68"/>
      <c r="M223" s="68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25">
      <c r="A224" s="5"/>
      <c r="B224" s="5"/>
      <c r="C224" s="5"/>
      <c r="D224" s="5"/>
      <c r="E224" s="5"/>
      <c r="F224" s="5"/>
      <c r="G224" s="5"/>
      <c r="H224" s="5"/>
      <c r="I224" s="68"/>
      <c r="J224" s="68"/>
      <c r="K224" s="68"/>
      <c r="L224" s="68"/>
      <c r="M224" s="68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25">
      <c r="A225" s="5"/>
      <c r="B225" s="5"/>
      <c r="C225" s="5"/>
      <c r="D225" s="5"/>
      <c r="E225" s="5"/>
      <c r="F225" s="5"/>
      <c r="G225" s="5"/>
      <c r="H225" s="5"/>
      <c r="I225" s="68"/>
      <c r="J225" s="68"/>
      <c r="K225" s="68"/>
      <c r="L225" s="68"/>
      <c r="M225" s="68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25">
      <c r="A226" s="5"/>
      <c r="B226" s="5"/>
      <c r="C226" s="5"/>
      <c r="D226" s="5"/>
      <c r="E226" s="5"/>
      <c r="F226" s="5"/>
      <c r="G226" s="5"/>
      <c r="H226" s="5"/>
      <c r="I226" s="68"/>
      <c r="J226" s="68"/>
      <c r="K226" s="68"/>
      <c r="L226" s="68"/>
      <c r="M226" s="68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25">
      <c r="A227" s="5"/>
      <c r="B227" s="5"/>
      <c r="C227" s="5"/>
      <c r="D227" s="5"/>
      <c r="E227" s="5"/>
      <c r="F227" s="5"/>
      <c r="G227" s="5"/>
      <c r="H227" s="5"/>
      <c r="I227" s="68"/>
      <c r="J227" s="68"/>
      <c r="K227" s="68"/>
      <c r="L227" s="68"/>
      <c r="M227" s="68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25">
      <c r="A228" s="5"/>
      <c r="B228" s="5"/>
      <c r="C228" s="5"/>
      <c r="D228" s="5"/>
      <c r="E228" s="5"/>
      <c r="F228" s="5"/>
      <c r="G228" s="5"/>
      <c r="H228" s="5"/>
      <c r="I228" s="68"/>
      <c r="J228" s="68"/>
      <c r="K228" s="68"/>
      <c r="L228" s="68"/>
      <c r="M228" s="68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25">
      <c r="A229" s="5"/>
      <c r="B229" s="5"/>
      <c r="C229" s="5"/>
      <c r="D229" s="5"/>
      <c r="E229" s="5"/>
      <c r="F229" s="5"/>
      <c r="G229" s="5"/>
      <c r="H229" s="5"/>
      <c r="I229" s="68"/>
      <c r="J229" s="68"/>
      <c r="K229" s="68"/>
      <c r="L229" s="68"/>
      <c r="M229" s="68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25">
      <c r="A230" s="5"/>
      <c r="B230" s="5"/>
      <c r="C230" s="5"/>
      <c r="D230" s="5"/>
      <c r="E230" s="5"/>
      <c r="F230" s="5"/>
      <c r="G230" s="5"/>
      <c r="H230" s="5"/>
      <c r="I230" s="68"/>
      <c r="J230" s="68"/>
      <c r="K230" s="68"/>
      <c r="L230" s="68"/>
      <c r="M230" s="68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25">
      <c r="A231" s="5"/>
      <c r="B231" s="5"/>
      <c r="C231" s="5"/>
      <c r="D231" s="5"/>
      <c r="E231" s="5"/>
      <c r="F231" s="5"/>
      <c r="G231" s="5"/>
      <c r="H231" s="5"/>
      <c r="I231" s="68"/>
      <c r="J231" s="68"/>
      <c r="K231" s="68"/>
      <c r="L231" s="68"/>
      <c r="M231" s="68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25">
      <c r="A232" s="5"/>
      <c r="B232" s="5"/>
      <c r="C232" s="5"/>
      <c r="D232" s="5"/>
      <c r="E232" s="5"/>
      <c r="F232" s="5"/>
      <c r="G232" s="5"/>
      <c r="H232" s="5"/>
      <c r="I232" s="68"/>
      <c r="J232" s="68"/>
      <c r="K232" s="68"/>
      <c r="L232" s="68"/>
      <c r="M232" s="68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25">
      <c r="A233" s="5"/>
      <c r="B233" s="5"/>
      <c r="C233" s="5"/>
      <c r="D233" s="5"/>
      <c r="E233" s="5"/>
      <c r="F233" s="5"/>
      <c r="G233" s="5"/>
      <c r="H233" s="5"/>
      <c r="I233" s="68"/>
      <c r="J233" s="68"/>
      <c r="K233" s="68"/>
      <c r="L233" s="68"/>
      <c r="M233" s="68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25">
      <c r="A234" s="5"/>
      <c r="B234" s="5"/>
      <c r="C234" s="5"/>
      <c r="D234" s="5"/>
      <c r="E234" s="5"/>
      <c r="F234" s="5"/>
      <c r="G234" s="5"/>
      <c r="H234" s="5"/>
      <c r="I234" s="68"/>
      <c r="J234" s="68"/>
      <c r="K234" s="68"/>
      <c r="L234" s="68"/>
      <c r="M234" s="68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25">
      <c r="A235" s="5"/>
      <c r="B235" s="5"/>
      <c r="C235" s="5"/>
      <c r="D235" s="5"/>
      <c r="E235" s="5"/>
      <c r="F235" s="5"/>
      <c r="G235" s="5"/>
      <c r="H235" s="5"/>
      <c r="I235" s="68"/>
      <c r="J235" s="68"/>
      <c r="K235" s="68"/>
      <c r="L235" s="68"/>
      <c r="M235" s="68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25">
      <c r="A236" s="5"/>
      <c r="B236" s="5"/>
      <c r="C236" s="5"/>
      <c r="D236" s="5"/>
      <c r="E236" s="5"/>
      <c r="F236" s="5"/>
      <c r="G236" s="5"/>
      <c r="H236" s="5"/>
      <c r="I236" s="68"/>
      <c r="J236" s="68"/>
      <c r="K236" s="68"/>
      <c r="L236" s="68"/>
      <c r="M236" s="68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25">
      <c r="A237" s="5"/>
      <c r="B237" s="5"/>
      <c r="C237" s="5"/>
      <c r="D237" s="5"/>
      <c r="E237" s="5"/>
      <c r="F237" s="5"/>
      <c r="G237" s="5"/>
      <c r="H237" s="5"/>
      <c r="I237" s="68"/>
      <c r="J237" s="68"/>
      <c r="K237" s="68"/>
      <c r="L237" s="68"/>
      <c r="M237" s="68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25">
      <c r="A238" s="5"/>
      <c r="B238" s="5"/>
      <c r="C238" s="5"/>
      <c r="D238" s="5"/>
      <c r="E238" s="5"/>
      <c r="F238" s="5"/>
      <c r="G238" s="5"/>
      <c r="H238" s="5"/>
      <c r="I238" s="68"/>
      <c r="J238" s="68"/>
      <c r="K238" s="68"/>
      <c r="L238" s="68"/>
      <c r="M238" s="68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25">
      <c r="A239" s="5"/>
      <c r="B239" s="5"/>
      <c r="C239" s="5"/>
      <c r="D239" s="5"/>
      <c r="E239" s="5"/>
      <c r="F239" s="5"/>
      <c r="G239" s="5"/>
      <c r="H239" s="5"/>
      <c r="I239" s="68"/>
      <c r="J239" s="68"/>
      <c r="K239" s="68"/>
      <c r="L239" s="68"/>
      <c r="M239" s="68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25">
      <c r="A240" s="5"/>
      <c r="B240" s="5"/>
      <c r="C240" s="5"/>
      <c r="D240" s="5"/>
      <c r="E240" s="5"/>
      <c r="F240" s="5"/>
      <c r="G240" s="5"/>
      <c r="H240" s="5"/>
      <c r="I240" s="68"/>
      <c r="J240" s="68"/>
      <c r="K240" s="68"/>
      <c r="L240" s="68"/>
      <c r="M240" s="68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25">
      <c r="A241" s="5"/>
      <c r="B241" s="5"/>
      <c r="C241" s="5"/>
      <c r="D241" s="5"/>
      <c r="E241" s="5"/>
      <c r="F241" s="5"/>
      <c r="G241" s="5"/>
      <c r="H241" s="5"/>
      <c r="I241" s="68"/>
      <c r="J241" s="68"/>
      <c r="K241" s="68"/>
      <c r="L241" s="68"/>
      <c r="M241" s="68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25">
      <c r="A242" s="5"/>
      <c r="B242" s="5"/>
      <c r="C242" s="5"/>
      <c r="D242" s="5"/>
      <c r="E242" s="5"/>
      <c r="F242" s="5"/>
      <c r="G242" s="5"/>
      <c r="H242" s="5"/>
      <c r="I242" s="68"/>
      <c r="J242" s="68"/>
      <c r="K242" s="68"/>
      <c r="L242" s="68"/>
      <c r="M242" s="68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25">
      <c r="A243" s="5"/>
      <c r="B243" s="5"/>
      <c r="C243" s="5"/>
      <c r="D243" s="5"/>
      <c r="E243" s="5"/>
      <c r="F243" s="5"/>
      <c r="G243" s="5"/>
      <c r="H243" s="5"/>
      <c r="I243" s="68"/>
      <c r="J243" s="68"/>
      <c r="K243" s="68"/>
      <c r="L243" s="68"/>
      <c r="M243" s="68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25">
      <c r="A244" s="5"/>
      <c r="B244" s="5"/>
      <c r="C244" s="5"/>
      <c r="D244" s="5"/>
      <c r="E244" s="5"/>
      <c r="F244" s="5"/>
      <c r="G244" s="5"/>
      <c r="H244" s="5"/>
      <c r="I244" s="68"/>
      <c r="J244" s="68"/>
      <c r="K244" s="68"/>
      <c r="L244" s="68"/>
      <c r="M244" s="68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25">
      <c r="A245" s="5"/>
      <c r="B245" s="5"/>
      <c r="C245" s="5"/>
      <c r="D245" s="5"/>
      <c r="E245" s="5"/>
      <c r="F245" s="5"/>
      <c r="G245" s="5"/>
      <c r="H245" s="5"/>
      <c r="I245" s="68"/>
      <c r="J245" s="68"/>
      <c r="K245" s="68"/>
      <c r="L245" s="68"/>
      <c r="M245" s="68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25">
      <c r="A246" s="5"/>
      <c r="B246" s="5"/>
      <c r="C246" s="5"/>
      <c r="D246" s="5"/>
      <c r="E246" s="5"/>
      <c r="F246" s="5"/>
      <c r="G246" s="5"/>
      <c r="H246" s="5"/>
      <c r="I246" s="68"/>
      <c r="J246" s="68"/>
      <c r="K246" s="68"/>
      <c r="L246" s="68"/>
      <c r="M246" s="68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25">
      <c r="A247" s="5"/>
      <c r="B247" s="5"/>
      <c r="C247" s="5"/>
      <c r="D247" s="5"/>
      <c r="E247" s="5"/>
      <c r="F247" s="5"/>
      <c r="G247" s="5"/>
      <c r="H247" s="5"/>
      <c r="I247" s="68"/>
      <c r="J247" s="68"/>
      <c r="K247" s="68"/>
      <c r="L247" s="68"/>
      <c r="M247" s="68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25">
      <c r="A248" s="5"/>
      <c r="B248" s="5"/>
      <c r="C248" s="5"/>
      <c r="D248" s="5"/>
      <c r="E248" s="5"/>
      <c r="F248" s="5"/>
      <c r="G248" s="5"/>
      <c r="H248" s="5"/>
      <c r="I248" s="68"/>
      <c r="J248" s="68"/>
      <c r="K248" s="68"/>
      <c r="L248" s="68"/>
      <c r="M248" s="68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25">
      <c r="A249" s="5"/>
      <c r="B249" s="5"/>
      <c r="C249" s="5"/>
      <c r="D249" s="5"/>
      <c r="E249" s="5"/>
      <c r="F249" s="5"/>
      <c r="G249" s="5"/>
      <c r="H249" s="5"/>
      <c r="I249" s="68"/>
      <c r="J249" s="68"/>
      <c r="K249" s="68"/>
      <c r="L249" s="68"/>
      <c r="M249" s="68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25">
      <c r="A250" s="5"/>
      <c r="B250" s="5"/>
      <c r="C250" s="5"/>
      <c r="D250" s="5"/>
      <c r="E250" s="5"/>
      <c r="F250" s="5"/>
      <c r="G250" s="5"/>
      <c r="H250" s="5"/>
      <c r="I250" s="68"/>
      <c r="J250" s="68"/>
      <c r="K250" s="68"/>
      <c r="L250" s="68"/>
      <c r="M250" s="68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25">
      <c r="A251" s="5"/>
      <c r="B251" s="5"/>
      <c r="C251" s="5"/>
      <c r="D251" s="5"/>
      <c r="E251" s="5"/>
      <c r="F251" s="5"/>
      <c r="G251" s="5"/>
      <c r="H251" s="5"/>
      <c r="I251" s="68"/>
      <c r="J251" s="68"/>
      <c r="K251" s="68"/>
      <c r="L251" s="68"/>
      <c r="M251" s="68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25">
      <c r="A252" s="5"/>
      <c r="B252" s="5"/>
      <c r="C252" s="5"/>
      <c r="D252" s="5"/>
      <c r="E252" s="5"/>
      <c r="F252" s="5"/>
      <c r="G252" s="5"/>
      <c r="H252" s="5"/>
      <c r="I252" s="68"/>
      <c r="J252" s="68"/>
      <c r="K252" s="68"/>
      <c r="L252" s="68"/>
      <c r="M252" s="68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25">
      <c r="A253" s="5"/>
      <c r="B253" s="5"/>
      <c r="C253" s="5"/>
      <c r="D253" s="5"/>
      <c r="E253" s="5"/>
      <c r="F253" s="5"/>
      <c r="G253" s="5"/>
      <c r="H253" s="5"/>
      <c r="I253" s="68"/>
      <c r="J253" s="68"/>
      <c r="K253" s="68"/>
      <c r="L253" s="68"/>
      <c r="M253" s="68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25">
      <c r="A254" s="5"/>
      <c r="B254" s="5"/>
      <c r="C254" s="5"/>
      <c r="D254" s="5"/>
      <c r="E254" s="5"/>
      <c r="F254" s="5"/>
      <c r="G254" s="5"/>
      <c r="H254" s="5"/>
      <c r="I254" s="68"/>
      <c r="J254" s="68"/>
      <c r="K254" s="68"/>
      <c r="L254" s="68"/>
      <c r="M254" s="68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25">
      <c r="A255" s="5"/>
      <c r="B255" s="5"/>
      <c r="C255" s="5"/>
      <c r="D255" s="5"/>
      <c r="E255" s="5"/>
      <c r="F255" s="5"/>
      <c r="G255" s="5"/>
      <c r="H255" s="5"/>
      <c r="I255" s="68"/>
      <c r="J255" s="68"/>
      <c r="K255" s="68"/>
      <c r="L255" s="68"/>
      <c r="M255" s="68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25">
      <c r="A256" s="5"/>
      <c r="B256" s="5"/>
      <c r="C256" s="5"/>
      <c r="D256" s="5"/>
      <c r="E256" s="5"/>
      <c r="F256" s="5"/>
      <c r="G256" s="5"/>
      <c r="H256" s="5"/>
      <c r="I256" s="68"/>
      <c r="J256" s="68"/>
      <c r="K256" s="68"/>
      <c r="L256" s="68"/>
      <c r="M256" s="68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25">
      <c r="A257" s="5"/>
      <c r="B257" s="5"/>
      <c r="C257" s="5"/>
      <c r="D257" s="5"/>
      <c r="E257" s="5"/>
      <c r="F257" s="5"/>
      <c r="G257" s="5"/>
      <c r="H257" s="5"/>
      <c r="I257" s="68"/>
      <c r="J257" s="68"/>
      <c r="K257" s="68"/>
      <c r="L257" s="68"/>
      <c r="M257" s="68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25">
      <c r="A258" s="5"/>
      <c r="B258" s="5"/>
      <c r="C258" s="5"/>
      <c r="D258" s="5"/>
      <c r="E258" s="5"/>
      <c r="F258" s="5"/>
      <c r="G258" s="5"/>
      <c r="H258" s="5"/>
      <c r="I258" s="68"/>
      <c r="J258" s="68"/>
      <c r="K258" s="68"/>
      <c r="L258" s="68"/>
      <c r="M258" s="68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25">
      <c r="A259" s="5"/>
      <c r="B259" s="5"/>
      <c r="C259" s="5"/>
      <c r="D259" s="5"/>
      <c r="E259" s="5"/>
      <c r="F259" s="5"/>
      <c r="G259" s="5"/>
      <c r="H259" s="5"/>
      <c r="I259" s="68"/>
      <c r="J259" s="68"/>
      <c r="K259" s="68"/>
      <c r="L259" s="68"/>
      <c r="M259" s="68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25">
      <c r="A260" s="5"/>
      <c r="B260" s="5"/>
      <c r="C260" s="5"/>
      <c r="D260" s="5"/>
      <c r="E260" s="5"/>
      <c r="F260" s="5"/>
      <c r="G260" s="5"/>
      <c r="H260" s="5"/>
      <c r="I260" s="68"/>
      <c r="J260" s="68"/>
      <c r="K260" s="68"/>
      <c r="L260" s="68"/>
      <c r="M260" s="68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25">
      <c r="A261" s="5"/>
      <c r="B261" s="5"/>
      <c r="C261" s="5"/>
      <c r="D261" s="5"/>
      <c r="E261" s="5"/>
      <c r="F261" s="5"/>
      <c r="G261" s="5"/>
      <c r="H261" s="5"/>
      <c r="I261" s="68"/>
      <c r="J261" s="68"/>
      <c r="K261" s="68"/>
      <c r="L261" s="68"/>
      <c r="M261" s="68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25">
      <c r="A262" s="5"/>
      <c r="B262" s="5"/>
      <c r="C262" s="5"/>
      <c r="D262" s="5"/>
      <c r="E262" s="5"/>
      <c r="F262" s="5"/>
      <c r="G262" s="5"/>
      <c r="H262" s="5"/>
      <c r="I262" s="68"/>
      <c r="J262" s="68"/>
      <c r="K262" s="68"/>
      <c r="L262" s="68"/>
      <c r="M262" s="68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25">
      <c r="A263" s="5"/>
      <c r="B263" s="5"/>
      <c r="C263" s="5"/>
      <c r="D263" s="5"/>
      <c r="E263" s="5"/>
      <c r="F263" s="5"/>
      <c r="G263" s="5"/>
      <c r="H263" s="5"/>
      <c r="I263" s="68"/>
      <c r="J263" s="68"/>
      <c r="K263" s="68"/>
      <c r="L263" s="68"/>
      <c r="M263" s="68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25">
      <c r="A264" s="5"/>
      <c r="B264" s="5"/>
      <c r="C264" s="5"/>
      <c r="D264" s="5"/>
      <c r="E264" s="5"/>
      <c r="F264" s="5"/>
      <c r="G264" s="5"/>
      <c r="H264" s="5"/>
      <c r="I264" s="68"/>
      <c r="J264" s="68"/>
      <c r="K264" s="68"/>
      <c r="L264" s="68"/>
      <c r="M264" s="68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25">
      <c r="A265" s="5"/>
      <c r="B265" s="5"/>
      <c r="C265" s="5"/>
      <c r="D265" s="5"/>
      <c r="E265" s="5"/>
      <c r="F265" s="5"/>
      <c r="G265" s="5"/>
      <c r="H265" s="5"/>
      <c r="I265" s="68"/>
      <c r="J265" s="68"/>
      <c r="K265" s="68"/>
      <c r="L265" s="68"/>
      <c r="M265" s="68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25">
      <c r="A266" s="5"/>
      <c r="B266" s="5"/>
      <c r="C266" s="5"/>
      <c r="D266" s="5"/>
      <c r="E266" s="5"/>
      <c r="F266" s="5"/>
      <c r="G266" s="5"/>
      <c r="H266" s="5"/>
      <c r="I266" s="68"/>
      <c r="J266" s="68"/>
      <c r="K266" s="68"/>
      <c r="L266" s="68"/>
      <c r="M266" s="68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25">
      <c r="A267" s="5"/>
      <c r="B267" s="5"/>
      <c r="C267" s="5"/>
      <c r="D267" s="5"/>
      <c r="E267" s="5"/>
      <c r="F267" s="5"/>
      <c r="G267" s="5"/>
      <c r="H267" s="5"/>
      <c r="I267" s="68"/>
      <c r="J267" s="68"/>
      <c r="K267" s="68"/>
      <c r="L267" s="68"/>
      <c r="M267" s="68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25">
      <c r="A268" s="5"/>
      <c r="B268" s="5"/>
      <c r="C268" s="5"/>
      <c r="D268" s="5"/>
      <c r="E268" s="5"/>
      <c r="F268" s="5"/>
      <c r="G268" s="5"/>
      <c r="H268" s="5"/>
      <c r="I268" s="68"/>
      <c r="J268" s="68"/>
      <c r="K268" s="68"/>
      <c r="L268" s="68"/>
      <c r="M268" s="68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25">
      <c r="A269" s="5"/>
      <c r="B269" s="5"/>
      <c r="C269" s="5"/>
      <c r="D269" s="5"/>
      <c r="E269" s="5"/>
      <c r="F269" s="5"/>
      <c r="G269" s="5"/>
      <c r="H269" s="5"/>
      <c r="I269" s="68"/>
      <c r="J269" s="68"/>
      <c r="K269" s="68"/>
      <c r="L269" s="68"/>
      <c r="M269" s="68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25">
      <c r="A270" s="5"/>
      <c r="B270" s="5"/>
      <c r="C270" s="5"/>
      <c r="D270" s="5"/>
      <c r="E270" s="5"/>
      <c r="F270" s="5"/>
      <c r="G270" s="5"/>
      <c r="H270" s="5"/>
      <c r="I270" s="68"/>
      <c r="J270" s="68"/>
      <c r="K270" s="68"/>
      <c r="L270" s="68"/>
      <c r="M270" s="68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25">
      <c r="A271" s="5"/>
      <c r="B271" s="5"/>
      <c r="C271" s="5"/>
      <c r="D271" s="5"/>
      <c r="E271" s="5"/>
      <c r="F271" s="5"/>
      <c r="G271" s="5"/>
      <c r="H271" s="5"/>
      <c r="I271" s="68"/>
      <c r="J271" s="68"/>
      <c r="K271" s="68"/>
      <c r="L271" s="68"/>
      <c r="M271" s="68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25">
      <c r="A272" s="5"/>
      <c r="B272" s="5"/>
      <c r="C272" s="5"/>
      <c r="D272" s="5"/>
      <c r="E272" s="5"/>
      <c r="F272" s="5"/>
      <c r="G272" s="5"/>
      <c r="H272" s="5"/>
      <c r="I272" s="68"/>
      <c r="J272" s="68"/>
      <c r="K272" s="68"/>
      <c r="L272" s="68"/>
      <c r="M272" s="68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25">
      <c r="A273" s="5"/>
      <c r="B273" s="5"/>
      <c r="C273" s="5"/>
      <c r="D273" s="5"/>
      <c r="E273" s="5"/>
      <c r="F273" s="5"/>
      <c r="G273" s="5"/>
      <c r="H273" s="5"/>
      <c r="I273" s="68"/>
      <c r="J273" s="68"/>
      <c r="K273" s="68"/>
      <c r="L273" s="68"/>
      <c r="M273" s="68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25">
      <c r="A274" s="5"/>
      <c r="B274" s="5"/>
      <c r="C274" s="5"/>
      <c r="D274" s="5"/>
      <c r="E274" s="5"/>
      <c r="F274" s="5"/>
      <c r="G274" s="5"/>
      <c r="H274" s="5"/>
      <c r="I274" s="68"/>
      <c r="J274" s="68"/>
      <c r="K274" s="68"/>
      <c r="L274" s="68"/>
      <c r="M274" s="68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25">
      <c r="A275" s="5"/>
      <c r="B275" s="5"/>
      <c r="C275" s="5"/>
      <c r="D275" s="5"/>
      <c r="E275" s="5"/>
      <c r="F275" s="5"/>
      <c r="G275" s="5"/>
      <c r="H275" s="5"/>
      <c r="I275" s="68"/>
      <c r="J275" s="68"/>
      <c r="K275" s="68"/>
      <c r="L275" s="68"/>
      <c r="M275" s="68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25">
      <c r="A276" s="5"/>
      <c r="B276" s="5"/>
      <c r="C276" s="5"/>
      <c r="D276" s="5"/>
      <c r="E276" s="5"/>
      <c r="F276" s="5"/>
      <c r="G276" s="5"/>
      <c r="H276" s="5"/>
      <c r="I276" s="68"/>
      <c r="J276" s="68"/>
      <c r="K276" s="68"/>
      <c r="L276" s="68"/>
      <c r="M276" s="68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25">
      <c r="A277" s="5"/>
      <c r="B277" s="5"/>
      <c r="C277" s="5"/>
      <c r="D277" s="5"/>
      <c r="E277" s="5"/>
      <c r="F277" s="5"/>
      <c r="G277" s="5"/>
      <c r="H277" s="5"/>
      <c r="I277" s="68"/>
      <c r="J277" s="68"/>
      <c r="K277" s="68"/>
      <c r="L277" s="68"/>
      <c r="M277" s="68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25">
      <c r="A278" s="5"/>
      <c r="B278" s="5"/>
      <c r="C278" s="5"/>
      <c r="D278" s="5"/>
      <c r="E278" s="5"/>
      <c r="F278" s="5"/>
      <c r="G278" s="5"/>
      <c r="H278" s="5"/>
      <c r="I278" s="68"/>
      <c r="J278" s="68"/>
      <c r="K278" s="68"/>
      <c r="L278" s="68"/>
      <c r="M278" s="68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25">
      <c r="A279" s="5"/>
      <c r="B279" s="5"/>
      <c r="C279" s="5"/>
      <c r="D279" s="5"/>
      <c r="E279" s="5"/>
      <c r="F279" s="5"/>
      <c r="G279" s="5"/>
      <c r="H279" s="5"/>
      <c r="I279" s="68"/>
      <c r="J279" s="68"/>
      <c r="K279" s="68"/>
      <c r="L279" s="68"/>
      <c r="M279" s="68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25">
      <c r="A280" s="5"/>
      <c r="B280" s="5"/>
      <c r="C280" s="5"/>
      <c r="D280" s="5"/>
      <c r="E280" s="5"/>
      <c r="F280" s="5"/>
      <c r="G280" s="5"/>
      <c r="H280" s="5"/>
      <c r="I280" s="68"/>
      <c r="J280" s="68"/>
      <c r="K280" s="68"/>
      <c r="L280" s="68"/>
      <c r="M280" s="68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25">
      <c r="A281" s="5"/>
      <c r="B281" s="5"/>
      <c r="C281" s="5"/>
      <c r="D281" s="5"/>
      <c r="E281" s="5"/>
      <c r="F281" s="5"/>
      <c r="G281" s="5"/>
      <c r="H281" s="5"/>
      <c r="I281" s="68"/>
      <c r="J281" s="68"/>
      <c r="K281" s="68"/>
      <c r="L281" s="68"/>
      <c r="M281" s="68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25">
      <c r="A282" s="5"/>
      <c r="B282" s="5"/>
      <c r="C282" s="5"/>
      <c r="D282" s="5"/>
      <c r="E282" s="5"/>
      <c r="F282" s="5"/>
      <c r="G282" s="5"/>
      <c r="H282" s="5"/>
      <c r="I282" s="68"/>
      <c r="J282" s="68"/>
      <c r="K282" s="68"/>
      <c r="L282" s="68"/>
      <c r="M282" s="68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25">
      <c r="A283" s="5"/>
      <c r="B283" s="5"/>
      <c r="C283" s="5"/>
      <c r="D283" s="5"/>
      <c r="E283" s="5"/>
      <c r="F283" s="5"/>
      <c r="G283" s="5"/>
      <c r="H283" s="5"/>
      <c r="I283" s="68"/>
      <c r="J283" s="68"/>
      <c r="K283" s="68"/>
      <c r="L283" s="68"/>
      <c r="M283" s="68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25">
      <c r="A284" s="5"/>
      <c r="B284" s="5"/>
      <c r="C284" s="5"/>
      <c r="D284" s="5"/>
      <c r="E284" s="5"/>
      <c r="F284" s="5"/>
      <c r="G284" s="5"/>
      <c r="H284" s="5"/>
      <c r="I284" s="68"/>
      <c r="J284" s="68"/>
      <c r="K284" s="68"/>
      <c r="L284" s="68"/>
      <c r="M284" s="68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25">
      <c r="A285" s="5"/>
      <c r="B285" s="5"/>
      <c r="C285" s="5"/>
      <c r="D285" s="5"/>
      <c r="E285" s="5"/>
      <c r="F285" s="5"/>
      <c r="G285" s="5"/>
      <c r="H285" s="5"/>
      <c r="I285" s="68"/>
      <c r="J285" s="68"/>
      <c r="K285" s="68"/>
      <c r="L285" s="68"/>
      <c r="M285" s="68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25">
      <c r="A286" s="5"/>
      <c r="B286" s="5"/>
      <c r="C286" s="5"/>
      <c r="D286" s="5"/>
      <c r="E286" s="5"/>
      <c r="F286" s="5"/>
      <c r="G286" s="5"/>
      <c r="H286" s="5"/>
      <c r="I286" s="68"/>
      <c r="J286" s="68"/>
      <c r="K286" s="68"/>
      <c r="L286" s="68"/>
      <c r="M286" s="68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25">
      <c r="A287" s="5"/>
      <c r="B287" s="5"/>
      <c r="C287" s="5"/>
      <c r="D287" s="5"/>
      <c r="E287" s="5"/>
      <c r="F287" s="5"/>
      <c r="G287" s="5"/>
      <c r="H287" s="5"/>
      <c r="I287" s="68"/>
      <c r="J287" s="68"/>
      <c r="K287" s="68"/>
      <c r="L287" s="68"/>
      <c r="M287" s="68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25">
      <c r="A288" s="5"/>
      <c r="B288" s="5"/>
      <c r="C288" s="5"/>
      <c r="D288" s="5"/>
      <c r="E288" s="5"/>
      <c r="F288" s="5"/>
      <c r="G288" s="5"/>
      <c r="H288" s="5"/>
      <c r="I288" s="68"/>
      <c r="J288" s="68"/>
      <c r="K288" s="68"/>
      <c r="L288" s="68"/>
      <c r="M288" s="68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25">
      <c r="A289" s="5"/>
      <c r="B289" s="5"/>
      <c r="C289" s="5"/>
      <c r="D289" s="5"/>
      <c r="E289" s="5"/>
      <c r="F289" s="5"/>
      <c r="G289" s="5"/>
      <c r="H289" s="5"/>
      <c r="I289" s="68"/>
      <c r="J289" s="68"/>
      <c r="K289" s="68"/>
      <c r="L289" s="68"/>
      <c r="M289" s="68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25">
      <c r="A290" s="5"/>
      <c r="B290" s="5"/>
      <c r="C290" s="5"/>
      <c r="D290" s="5"/>
      <c r="E290" s="5"/>
      <c r="F290" s="5"/>
      <c r="G290" s="5"/>
      <c r="H290" s="5"/>
      <c r="I290" s="68"/>
      <c r="J290" s="68"/>
      <c r="K290" s="68"/>
      <c r="L290" s="68"/>
      <c r="M290" s="68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25">
      <c r="A291" s="5"/>
      <c r="B291" s="5"/>
      <c r="C291" s="5"/>
      <c r="D291" s="5"/>
      <c r="E291" s="5"/>
      <c r="F291" s="5"/>
      <c r="G291" s="5"/>
      <c r="H291" s="5"/>
      <c r="I291" s="68"/>
      <c r="J291" s="68"/>
      <c r="K291" s="68"/>
      <c r="L291" s="68"/>
      <c r="M291" s="68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25">
      <c r="A292" s="5"/>
      <c r="B292" s="5"/>
      <c r="C292" s="5"/>
      <c r="D292" s="5"/>
      <c r="E292" s="5"/>
      <c r="F292" s="5"/>
      <c r="G292" s="5"/>
      <c r="H292" s="5"/>
      <c r="I292" s="68"/>
      <c r="J292" s="68"/>
      <c r="K292" s="68"/>
      <c r="L292" s="68"/>
      <c r="M292" s="68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25">
      <c r="A293" s="5"/>
      <c r="B293" s="5"/>
      <c r="C293" s="5"/>
      <c r="D293" s="5"/>
      <c r="E293" s="5"/>
      <c r="F293" s="5"/>
      <c r="G293" s="5"/>
      <c r="H293" s="5"/>
      <c r="I293" s="68"/>
      <c r="J293" s="68"/>
      <c r="K293" s="68"/>
      <c r="L293" s="68"/>
      <c r="M293" s="68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25">
      <c r="A294" s="5"/>
      <c r="B294" s="5"/>
      <c r="C294" s="5"/>
      <c r="D294" s="5"/>
      <c r="E294" s="5"/>
      <c r="F294" s="5"/>
      <c r="G294" s="5"/>
      <c r="H294" s="5"/>
      <c r="I294" s="68"/>
      <c r="J294" s="68"/>
      <c r="K294" s="68"/>
      <c r="L294" s="68"/>
      <c r="M294" s="68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25">
      <c r="A295" s="5"/>
      <c r="B295" s="5"/>
      <c r="C295" s="5"/>
      <c r="D295" s="5"/>
      <c r="E295" s="5"/>
      <c r="F295" s="5"/>
      <c r="G295" s="5"/>
      <c r="H295" s="5"/>
      <c r="I295" s="68"/>
      <c r="J295" s="68"/>
      <c r="K295" s="68"/>
      <c r="L295" s="68"/>
      <c r="M295" s="68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25">
      <c r="A296" s="5"/>
      <c r="B296" s="5"/>
      <c r="C296" s="5"/>
      <c r="D296" s="5"/>
      <c r="E296" s="5"/>
      <c r="F296" s="5"/>
      <c r="G296" s="5"/>
      <c r="H296" s="5"/>
      <c r="I296" s="68"/>
      <c r="J296" s="68"/>
      <c r="K296" s="68"/>
      <c r="L296" s="68"/>
      <c r="M296" s="68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25">
      <c r="A297" s="5"/>
      <c r="B297" s="5"/>
      <c r="C297" s="5"/>
      <c r="D297" s="5"/>
      <c r="E297" s="5"/>
      <c r="F297" s="5"/>
      <c r="G297" s="5"/>
      <c r="H297" s="5"/>
      <c r="I297" s="68"/>
      <c r="J297" s="68"/>
      <c r="K297" s="68"/>
      <c r="L297" s="68"/>
      <c r="M297" s="68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25">
      <c r="A298" s="5"/>
      <c r="B298" s="5"/>
      <c r="C298" s="5"/>
      <c r="D298" s="5"/>
      <c r="E298" s="5"/>
      <c r="F298" s="5"/>
      <c r="G298" s="5"/>
      <c r="H298" s="5"/>
      <c r="I298" s="68"/>
      <c r="J298" s="68"/>
      <c r="K298" s="68"/>
      <c r="L298" s="68"/>
      <c r="M298" s="68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25">
      <c r="A299" s="5"/>
      <c r="B299" s="5"/>
      <c r="C299" s="5"/>
      <c r="D299" s="5"/>
      <c r="E299" s="5"/>
      <c r="F299" s="5"/>
      <c r="G299" s="5"/>
      <c r="H299" s="5"/>
      <c r="I299" s="68"/>
      <c r="J299" s="68"/>
      <c r="K299" s="68"/>
      <c r="L299" s="68"/>
      <c r="M299" s="68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25">
      <c r="A300" s="5"/>
      <c r="B300" s="5"/>
      <c r="C300" s="5"/>
      <c r="D300" s="5"/>
      <c r="E300" s="5"/>
      <c r="F300" s="5"/>
      <c r="G300" s="5"/>
      <c r="H300" s="5"/>
      <c r="I300" s="68"/>
      <c r="J300" s="68"/>
      <c r="K300" s="68"/>
      <c r="L300" s="68"/>
      <c r="M300" s="68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25">
      <c r="A301" s="5"/>
      <c r="B301" s="5"/>
      <c r="C301" s="5"/>
      <c r="D301" s="5"/>
      <c r="E301" s="5"/>
      <c r="F301" s="5"/>
      <c r="G301" s="5"/>
      <c r="H301" s="5"/>
      <c r="I301" s="68"/>
      <c r="J301" s="68"/>
      <c r="K301" s="68"/>
      <c r="L301" s="68"/>
      <c r="M301" s="68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25">
      <c r="A302" s="5"/>
      <c r="B302" s="5"/>
      <c r="C302" s="5"/>
      <c r="D302" s="5"/>
      <c r="E302" s="5"/>
      <c r="F302" s="5"/>
      <c r="G302" s="5"/>
      <c r="H302" s="5"/>
      <c r="I302" s="68"/>
      <c r="J302" s="68"/>
      <c r="K302" s="68"/>
      <c r="L302" s="68"/>
      <c r="M302" s="68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25">
      <c r="A303" s="5"/>
      <c r="B303" s="5"/>
      <c r="C303" s="5"/>
      <c r="D303" s="5"/>
      <c r="E303" s="5"/>
      <c r="F303" s="5"/>
      <c r="G303" s="5"/>
      <c r="H303" s="5"/>
      <c r="I303" s="68"/>
      <c r="J303" s="68"/>
      <c r="K303" s="68"/>
      <c r="L303" s="68"/>
      <c r="M303" s="68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25">
      <c r="A304" s="5"/>
      <c r="B304" s="5"/>
      <c r="C304" s="5"/>
      <c r="D304" s="5"/>
      <c r="E304" s="5"/>
      <c r="F304" s="5"/>
      <c r="G304" s="5"/>
      <c r="H304" s="5"/>
      <c r="I304" s="68"/>
      <c r="J304" s="68"/>
      <c r="K304" s="68"/>
      <c r="L304" s="68"/>
      <c r="M304" s="68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25">
      <c r="A305" s="5"/>
      <c r="B305" s="5"/>
      <c r="C305" s="5"/>
      <c r="D305" s="5"/>
      <c r="E305" s="5"/>
      <c r="F305" s="5"/>
      <c r="G305" s="5"/>
      <c r="H305" s="5"/>
      <c r="I305" s="68"/>
      <c r="J305" s="68"/>
      <c r="K305" s="68"/>
      <c r="L305" s="68"/>
      <c r="M305" s="68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25">
      <c r="A306" s="5"/>
      <c r="B306" s="5"/>
      <c r="C306" s="5"/>
      <c r="D306" s="5"/>
      <c r="E306" s="5"/>
      <c r="F306" s="5"/>
      <c r="G306" s="5"/>
      <c r="H306" s="5"/>
      <c r="I306" s="68"/>
      <c r="J306" s="68"/>
      <c r="K306" s="68"/>
      <c r="L306" s="68"/>
      <c r="M306" s="68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25">
      <c r="A307" s="5"/>
      <c r="B307" s="5"/>
      <c r="C307" s="5"/>
      <c r="D307" s="5"/>
      <c r="E307" s="5"/>
      <c r="F307" s="5"/>
      <c r="G307" s="5"/>
      <c r="H307" s="5"/>
      <c r="I307" s="68"/>
      <c r="J307" s="68"/>
      <c r="K307" s="68"/>
      <c r="L307" s="68"/>
      <c r="M307" s="68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25">
      <c r="A308" s="5"/>
      <c r="B308" s="5"/>
      <c r="C308" s="5"/>
      <c r="D308" s="5"/>
      <c r="E308" s="5"/>
      <c r="F308" s="5"/>
      <c r="G308" s="5"/>
      <c r="H308" s="5"/>
      <c r="I308" s="68"/>
      <c r="J308" s="68"/>
      <c r="K308" s="68"/>
      <c r="L308" s="68"/>
      <c r="M308" s="68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25">
      <c r="A309" s="5"/>
      <c r="B309" s="5"/>
      <c r="C309" s="5"/>
      <c r="D309" s="5"/>
      <c r="E309" s="5"/>
      <c r="F309" s="5"/>
      <c r="G309" s="5"/>
      <c r="H309" s="5"/>
      <c r="I309" s="68"/>
      <c r="J309" s="68"/>
      <c r="K309" s="68"/>
      <c r="L309" s="68"/>
      <c r="M309" s="68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25">
      <c r="A310" s="5"/>
      <c r="B310" s="5"/>
      <c r="C310" s="5"/>
      <c r="D310" s="5"/>
      <c r="E310" s="5"/>
      <c r="F310" s="5"/>
      <c r="G310" s="5"/>
      <c r="H310" s="5"/>
      <c r="I310" s="68"/>
      <c r="J310" s="68"/>
      <c r="K310" s="68"/>
      <c r="L310" s="68"/>
      <c r="M310" s="68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25">
      <c r="A311" s="5"/>
      <c r="B311" s="5"/>
      <c r="C311" s="5"/>
      <c r="D311" s="5"/>
      <c r="E311" s="5"/>
      <c r="F311" s="5"/>
      <c r="G311" s="5"/>
      <c r="H311" s="5"/>
      <c r="I311" s="68"/>
      <c r="J311" s="68"/>
      <c r="K311" s="68"/>
      <c r="L311" s="68"/>
      <c r="M311" s="68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25">
      <c r="A312" s="5"/>
      <c r="B312" s="5"/>
      <c r="C312" s="5"/>
      <c r="D312" s="5"/>
      <c r="E312" s="5"/>
      <c r="F312" s="5"/>
      <c r="G312" s="5"/>
      <c r="H312" s="5"/>
      <c r="I312" s="68"/>
      <c r="J312" s="68"/>
      <c r="K312" s="68"/>
      <c r="L312" s="68"/>
      <c r="M312" s="68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25">
      <c r="A313" s="5"/>
      <c r="B313" s="5"/>
      <c r="C313" s="5"/>
      <c r="D313" s="5"/>
      <c r="E313" s="5"/>
      <c r="F313" s="5"/>
      <c r="G313" s="5"/>
      <c r="H313" s="5"/>
      <c r="I313" s="68"/>
      <c r="J313" s="68"/>
      <c r="K313" s="68"/>
      <c r="L313" s="68"/>
      <c r="M313" s="68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25">
      <c r="A314" s="5"/>
      <c r="B314" s="5"/>
      <c r="C314" s="5"/>
      <c r="D314" s="5"/>
      <c r="E314" s="5"/>
      <c r="F314" s="5"/>
      <c r="G314" s="5"/>
      <c r="H314" s="5"/>
      <c r="I314" s="68"/>
      <c r="J314" s="68"/>
      <c r="K314" s="68"/>
      <c r="L314" s="68"/>
      <c r="M314" s="68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25">
      <c r="A315" s="5"/>
      <c r="B315" s="5"/>
      <c r="C315" s="5"/>
      <c r="D315" s="5"/>
      <c r="E315" s="5"/>
      <c r="F315" s="5"/>
      <c r="G315" s="5"/>
      <c r="H315" s="5"/>
      <c r="I315" s="68"/>
      <c r="J315" s="68"/>
      <c r="K315" s="68"/>
      <c r="L315" s="68"/>
      <c r="M315" s="68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25">
      <c r="A316" s="5"/>
      <c r="B316" s="5"/>
      <c r="C316" s="5"/>
      <c r="D316" s="5"/>
      <c r="E316" s="5"/>
      <c r="F316" s="5"/>
      <c r="G316" s="5"/>
      <c r="H316" s="5"/>
      <c r="I316" s="68"/>
      <c r="J316" s="68"/>
      <c r="K316" s="68"/>
      <c r="L316" s="68"/>
      <c r="M316" s="68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25">
      <c r="A317" s="5"/>
      <c r="B317" s="5"/>
      <c r="C317" s="5"/>
      <c r="D317" s="5"/>
      <c r="E317" s="5"/>
      <c r="F317" s="5"/>
      <c r="G317" s="5"/>
      <c r="H317" s="5"/>
      <c r="I317" s="68"/>
      <c r="J317" s="68"/>
      <c r="K317" s="68"/>
      <c r="L317" s="68"/>
      <c r="M317" s="68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25">
      <c r="A318" s="5"/>
      <c r="B318" s="5"/>
      <c r="C318" s="5"/>
      <c r="D318" s="5"/>
      <c r="E318" s="5"/>
      <c r="F318" s="5"/>
      <c r="G318" s="5"/>
      <c r="H318" s="5"/>
      <c r="I318" s="68"/>
      <c r="J318" s="68"/>
      <c r="K318" s="68"/>
      <c r="L318" s="68"/>
      <c r="M318" s="68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25">
      <c r="A319" s="5"/>
      <c r="B319" s="5"/>
      <c r="C319" s="5"/>
      <c r="D319" s="5"/>
      <c r="E319" s="5"/>
      <c r="F319" s="5"/>
      <c r="G319" s="5"/>
      <c r="H319" s="5"/>
      <c r="I319" s="68"/>
      <c r="J319" s="68"/>
      <c r="K319" s="68"/>
      <c r="L319" s="68"/>
      <c r="M319" s="68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25">
      <c r="A320" s="5"/>
      <c r="B320" s="5"/>
      <c r="C320" s="5"/>
      <c r="D320" s="5"/>
      <c r="E320" s="5"/>
      <c r="F320" s="5"/>
      <c r="G320" s="5"/>
      <c r="H320" s="5"/>
      <c r="I320" s="68"/>
      <c r="J320" s="68"/>
      <c r="K320" s="68"/>
      <c r="L320" s="68"/>
      <c r="M320" s="68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25">
      <c r="A321" s="5"/>
      <c r="B321" s="5"/>
      <c r="C321" s="5"/>
      <c r="D321" s="5"/>
      <c r="E321" s="5"/>
      <c r="F321" s="5"/>
      <c r="G321" s="5"/>
      <c r="H321" s="5"/>
      <c r="I321" s="68"/>
      <c r="J321" s="68"/>
      <c r="K321" s="68"/>
      <c r="L321" s="68"/>
      <c r="M321" s="68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25">
      <c r="A322" s="5"/>
      <c r="B322" s="5"/>
      <c r="C322" s="5"/>
      <c r="D322" s="5"/>
      <c r="E322" s="5"/>
      <c r="F322" s="5"/>
      <c r="G322" s="5"/>
      <c r="H322" s="5"/>
      <c r="I322" s="68"/>
      <c r="J322" s="68"/>
      <c r="K322" s="68"/>
      <c r="L322" s="68"/>
      <c r="M322" s="68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25">
      <c r="A323" s="5"/>
      <c r="B323" s="5"/>
      <c r="C323" s="5"/>
      <c r="D323" s="5"/>
      <c r="E323" s="5"/>
      <c r="F323" s="5"/>
      <c r="G323" s="5"/>
      <c r="H323" s="5"/>
      <c r="I323" s="68"/>
      <c r="J323" s="68"/>
      <c r="K323" s="68"/>
      <c r="L323" s="68"/>
      <c r="M323" s="68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25">
      <c r="A324" s="5"/>
      <c r="B324" s="5"/>
      <c r="C324" s="5"/>
      <c r="D324" s="5"/>
      <c r="E324" s="5"/>
      <c r="F324" s="5"/>
      <c r="G324" s="5"/>
      <c r="H324" s="5"/>
      <c r="I324" s="68"/>
      <c r="J324" s="68"/>
      <c r="K324" s="68"/>
      <c r="L324" s="68"/>
      <c r="M324" s="68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25">
      <c r="A325" s="5"/>
      <c r="B325" s="5"/>
      <c r="C325" s="5"/>
      <c r="D325" s="5"/>
      <c r="E325" s="5"/>
      <c r="F325" s="5"/>
      <c r="G325" s="5"/>
      <c r="H325" s="5"/>
      <c r="I325" s="68"/>
      <c r="J325" s="68"/>
      <c r="K325" s="68"/>
      <c r="L325" s="68"/>
      <c r="M325" s="68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25">
      <c r="A326" s="5"/>
      <c r="B326" s="5"/>
      <c r="C326" s="5"/>
      <c r="D326" s="5"/>
      <c r="E326" s="5"/>
      <c r="F326" s="5"/>
      <c r="G326" s="5"/>
      <c r="H326" s="5"/>
      <c r="I326" s="68"/>
      <c r="J326" s="68"/>
      <c r="K326" s="68"/>
      <c r="L326" s="68"/>
      <c r="M326" s="68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25">
      <c r="A327" s="5"/>
      <c r="B327" s="5"/>
      <c r="C327" s="5"/>
      <c r="D327" s="5"/>
      <c r="E327" s="5"/>
      <c r="F327" s="5"/>
      <c r="G327" s="5"/>
      <c r="H327" s="5"/>
      <c r="I327" s="68"/>
      <c r="J327" s="68"/>
      <c r="K327" s="68"/>
      <c r="L327" s="68"/>
      <c r="M327" s="68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25">
      <c r="A328" s="5"/>
      <c r="B328" s="5"/>
      <c r="C328" s="5"/>
      <c r="D328" s="5"/>
      <c r="E328" s="5"/>
      <c r="F328" s="5"/>
      <c r="G328" s="5"/>
      <c r="H328" s="5"/>
      <c r="I328" s="68"/>
      <c r="J328" s="68"/>
      <c r="K328" s="68"/>
      <c r="L328" s="68"/>
      <c r="M328" s="68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25">
      <c r="A329" s="5"/>
      <c r="B329" s="5"/>
      <c r="C329" s="5"/>
      <c r="D329" s="5"/>
      <c r="E329" s="5"/>
      <c r="F329" s="5"/>
      <c r="G329" s="5"/>
      <c r="H329" s="5"/>
      <c r="I329" s="68"/>
      <c r="J329" s="68"/>
      <c r="K329" s="68"/>
      <c r="L329" s="68"/>
      <c r="M329" s="68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25">
      <c r="A330" s="5"/>
      <c r="B330" s="5"/>
      <c r="C330" s="5"/>
      <c r="D330" s="5"/>
      <c r="E330" s="5"/>
      <c r="F330" s="5"/>
      <c r="G330" s="5"/>
      <c r="H330" s="5"/>
      <c r="I330" s="68"/>
      <c r="J330" s="68"/>
      <c r="K330" s="68"/>
      <c r="L330" s="68"/>
      <c r="M330" s="68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25">
      <c r="A331" s="5"/>
      <c r="B331" s="5"/>
      <c r="C331" s="5"/>
      <c r="D331" s="5"/>
      <c r="E331" s="5"/>
      <c r="F331" s="5"/>
      <c r="G331" s="5"/>
      <c r="H331" s="5"/>
      <c r="I331" s="68"/>
      <c r="J331" s="68"/>
      <c r="K331" s="68"/>
      <c r="L331" s="68"/>
      <c r="M331" s="68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25">
      <c r="A332" s="5"/>
      <c r="B332" s="5"/>
      <c r="C332" s="5"/>
      <c r="D332" s="5"/>
      <c r="E332" s="5"/>
      <c r="F332" s="5"/>
      <c r="G332" s="5"/>
      <c r="H332" s="5"/>
      <c r="I332" s="68"/>
      <c r="J332" s="68"/>
      <c r="K332" s="68"/>
      <c r="L332" s="68"/>
      <c r="M332" s="68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25">
      <c r="A333" s="5"/>
      <c r="B333" s="5"/>
      <c r="C333" s="5"/>
      <c r="D333" s="5"/>
      <c r="E333" s="5"/>
      <c r="F333" s="5"/>
      <c r="G333" s="5"/>
      <c r="H333" s="5"/>
      <c r="I333" s="68"/>
      <c r="J333" s="68"/>
      <c r="K333" s="68"/>
      <c r="L333" s="68"/>
      <c r="M333" s="68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25">
      <c r="A334" s="5"/>
      <c r="B334" s="5"/>
      <c r="C334" s="5"/>
      <c r="D334" s="5"/>
      <c r="E334" s="5"/>
      <c r="F334" s="5"/>
      <c r="G334" s="5"/>
      <c r="H334" s="5"/>
      <c r="I334" s="68"/>
      <c r="J334" s="68"/>
      <c r="K334" s="68"/>
      <c r="L334" s="68"/>
      <c r="M334" s="68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25">
      <c r="A335" s="5"/>
      <c r="B335" s="5"/>
      <c r="C335" s="5"/>
      <c r="D335" s="5"/>
      <c r="E335" s="5"/>
      <c r="F335" s="5"/>
      <c r="G335" s="5"/>
      <c r="H335" s="5"/>
      <c r="I335" s="68"/>
      <c r="J335" s="68"/>
      <c r="K335" s="68"/>
      <c r="L335" s="68"/>
      <c r="M335" s="68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25">
      <c r="A336" s="5"/>
      <c r="B336" s="5"/>
      <c r="C336" s="5"/>
      <c r="D336" s="5"/>
      <c r="E336" s="5"/>
      <c r="F336" s="5"/>
      <c r="G336" s="5"/>
      <c r="H336" s="5"/>
      <c r="I336" s="68"/>
      <c r="J336" s="68"/>
      <c r="K336" s="68"/>
      <c r="L336" s="68"/>
      <c r="M336" s="68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25">
      <c r="A337" s="5"/>
      <c r="B337" s="5"/>
      <c r="C337" s="5"/>
      <c r="D337" s="5"/>
      <c r="E337" s="5"/>
      <c r="F337" s="5"/>
      <c r="G337" s="5"/>
      <c r="H337" s="5"/>
      <c r="I337" s="68"/>
      <c r="J337" s="68"/>
      <c r="K337" s="68"/>
      <c r="L337" s="68"/>
      <c r="M337" s="68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25">
      <c r="A338" s="5"/>
      <c r="B338" s="5"/>
      <c r="C338" s="5"/>
      <c r="D338" s="5"/>
      <c r="E338" s="5"/>
      <c r="F338" s="5"/>
      <c r="G338" s="5"/>
      <c r="H338" s="5"/>
      <c r="I338" s="68"/>
      <c r="J338" s="68"/>
      <c r="K338" s="68"/>
      <c r="L338" s="68"/>
      <c r="M338" s="68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25">
      <c r="A339" s="5"/>
      <c r="B339" s="5"/>
      <c r="C339" s="5"/>
      <c r="D339" s="5"/>
      <c r="E339" s="5"/>
      <c r="F339" s="5"/>
      <c r="G339" s="5"/>
      <c r="H339" s="5"/>
      <c r="I339" s="68"/>
      <c r="J339" s="68"/>
      <c r="K339" s="68"/>
      <c r="L339" s="68"/>
      <c r="M339" s="68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25">
      <c r="A340" s="5"/>
      <c r="B340" s="5"/>
      <c r="C340" s="5"/>
      <c r="D340" s="5"/>
      <c r="E340" s="5"/>
      <c r="F340" s="5"/>
      <c r="G340" s="5"/>
      <c r="H340" s="5"/>
      <c r="I340" s="68"/>
      <c r="J340" s="68"/>
      <c r="K340" s="68"/>
      <c r="L340" s="68"/>
      <c r="M340" s="68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25">
      <c r="A341" s="5"/>
      <c r="B341" s="5"/>
      <c r="C341" s="5"/>
      <c r="D341" s="5"/>
      <c r="E341" s="5"/>
      <c r="F341" s="5"/>
      <c r="G341" s="5"/>
      <c r="H341" s="5"/>
      <c r="I341" s="68"/>
      <c r="J341" s="68"/>
      <c r="K341" s="68"/>
      <c r="L341" s="68"/>
      <c r="M341" s="68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25">
      <c r="A342" s="5"/>
      <c r="B342" s="5"/>
      <c r="C342" s="5"/>
      <c r="D342" s="5"/>
      <c r="E342" s="5"/>
      <c r="F342" s="5"/>
      <c r="G342" s="5"/>
      <c r="H342" s="5"/>
      <c r="I342" s="68"/>
      <c r="J342" s="68"/>
      <c r="K342" s="68"/>
      <c r="L342" s="68"/>
      <c r="M342" s="68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25">
      <c r="A343" s="5"/>
      <c r="B343" s="5"/>
      <c r="C343" s="5"/>
      <c r="D343" s="5"/>
      <c r="E343" s="5"/>
      <c r="F343" s="5"/>
      <c r="G343" s="5"/>
      <c r="H343" s="5"/>
      <c r="I343" s="68"/>
      <c r="J343" s="68"/>
      <c r="K343" s="68"/>
      <c r="L343" s="68"/>
      <c r="M343" s="68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25">
      <c r="A344" s="5"/>
      <c r="B344" s="5"/>
      <c r="C344" s="5"/>
      <c r="D344" s="5"/>
      <c r="E344" s="5"/>
      <c r="F344" s="5"/>
      <c r="G344" s="5"/>
      <c r="H344" s="5"/>
      <c r="I344" s="68"/>
      <c r="J344" s="68"/>
      <c r="K344" s="68"/>
      <c r="L344" s="68"/>
      <c r="M344" s="68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25">
      <c r="A345" s="5"/>
      <c r="B345" s="5"/>
      <c r="C345" s="5"/>
      <c r="D345" s="5"/>
      <c r="E345" s="5"/>
      <c r="F345" s="5"/>
      <c r="G345" s="5"/>
      <c r="H345" s="5"/>
      <c r="I345" s="68"/>
      <c r="J345" s="68"/>
      <c r="K345" s="68"/>
      <c r="L345" s="68"/>
      <c r="M345" s="68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25">
      <c r="A346" s="5"/>
      <c r="B346" s="5"/>
      <c r="C346" s="5"/>
      <c r="D346" s="5"/>
      <c r="E346" s="5"/>
      <c r="F346" s="5"/>
      <c r="G346" s="5"/>
      <c r="H346" s="5"/>
      <c r="I346" s="68"/>
      <c r="J346" s="68"/>
      <c r="K346" s="68"/>
      <c r="L346" s="68"/>
      <c r="M346" s="68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25">
      <c r="A347" s="5"/>
      <c r="B347" s="5"/>
      <c r="C347" s="5"/>
      <c r="D347" s="5"/>
      <c r="E347" s="5"/>
      <c r="F347" s="5"/>
      <c r="G347" s="5"/>
      <c r="H347" s="5"/>
      <c r="I347" s="68"/>
      <c r="J347" s="68"/>
      <c r="K347" s="68"/>
      <c r="L347" s="68"/>
      <c r="M347" s="68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25">
      <c r="A348" s="5"/>
      <c r="B348" s="5"/>
      <c r="C348" s="5"/>
      <c r="D348" s="5"/>
      <c r="E348" s="5"/>
      <c r="F348" s="5"/>
      <c r="G348" s="5"/>
      <c r="H348" s="5"/>
      <c r="I348" s="68"/>
      <c r="J348" s="68"/>
      <c r="K348" s="68"/>
      <c r="L348" s="68"/>
      <c r="M348" s="68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25">
      <c r="A349" s="5"/>
      <c r="B349" s="5"/>
      <c r="C349" s="5"/>
      <c r="D349" s="5"/>
      <c r="E349" s="5"/>
      <c r="F349" s="5"/>
      <c r="G349" s="5"/>
      <c r="H349" s="5"/>
      <c r="I349" s="68"/>
      <c r="J349" s="68"/>
      <c r="K349" s="68"/>
      <c r="L349" s="68"/>
      <c r="M349" s="68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25">
      <c r="A350" s="5"/>
      <c r="B350" s="5"/>
      <c r="C350" s="5"/>
      <c r="D350" s="5"/>
      <c r="E350" s="5"/>
      <c r="F350" s="5"/>
      <c r="G350" s="5"/>
      <c r="H350" s="5"/>
      <c r="I350" s="68"/>
      <c r="J350" s="68"/>
      <c r="K350" s="68"/>
      <c r="L350" s="68"/>
      <c r="M350" s="68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25">
      <c r="A351" s="5"/>
      <c r="B351" s="5"/>
      <c r="C351" s="5"/>
      <c r="D351" s="5"/>
      <c r="E351" s="5"/>
      <c r="F351" s="5"/>
      <c r="G351" s="5"/>
      <c r="H351" s="5"/>
      <c r="I351" s="68"/>
      <c r="J351" s="68"/>
      <c r="K351" s="68"/>
      <c r="L351" s="68"/>
      <c r="M351" s="68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25">
      <c r="A352" s="5"/>
      <c r="B352" s="5"/>
      <c r="C352" s="5"/>
      <c r="D352" s="5"/>
      <c r="E352" s="5"/>
      <c r="F352" s="5"/>
      <c r="G352" s="5"/>
      <c r="H352" s="5"/>
      <c r="I352" s="68"/>
      <c r="J352" s="68"/>
      <c r="K352" s="68"/>
      <c r="L352" s="68"/>
      <c r="M352" s="68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25">
      <c r="A353" s="5"/>
      <c r="B353" s="5"/>
      <c r="C353" s="5"/>
      <c r="D353" s="5"/>
      <c r="E353" s="5"/>
      <c r="F353" s="5"/>
      <c r="G353" s="5"/>
      <c r="H353" s="5"/>
      <c r="I353" s="68"/>
      <c r="J353" s="68"/>
      <c r="K353" s="68"/>
      <c r="L353" s="68"/>
      <c r="M353" s="68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25">
      <c r="A354" s="5"/>
      <c r="B354" s="5"/>
      <c r="C354" s="5"/>
      <c r="D354" s="5"/>
      <c r="E354" s="5"/>
      <c r="F354" s="5"/>
      <c r="G354" s="5"/>
      <c r="H354" s="5"/>
      <c r="I354" s="68"/>
      <c r="J354" s="68"/>
      <c r="K354" s="68"/>
      <c r="L354" s="68"/>
      <c r="M354" s="68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25">
      <c r="A355" s="5"/>
      <c r="B355" s="5"/>
      <c r="C355" s="5"/>
      <c r="D355" s="5"/>
      <c r="E355" s="5"/>
      <c r="F355" s="5"/>
      <c r="G355" s="5"/>
      <c r="H355" s="5"/>
      <c r="I355" s="68"/>
      <c r="J355" s="68"/>
      <c r="K355" s="68"/>
      <c r="L355" s="68"/>
      <c r="M355" s="68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25">
      <c r="A356" s="5"/>
      <c r="B356" s="5"/>
      <c r="C356" s="5"/>
      <c r="D356" s="5"/>
      <c r="E356" s="5"/>
      <c r="F356" s="5"/>
      <c r="G356" s="5"/>
      <c r="H356" s="5"/>
      <c r="I356" s="68"/>
      <c r="J356" s="68"/>
      <c r="K356" s="68"/>
      <c r="L356" s="68"/>
      <c r="M356" s="68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25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6"/>
  <dimension ref="A1:BL552"/>
  <sheetViews>
    <sheetView topLeftCell="Q10" zoomScale="80" zoomScaleNormal="80" workbookViewId="0">
      <selection activeCell="I21" sqref="I21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3" customWidth="1"/>
    <col min="7" max="7" width="17.5703125" style="3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5"/>
      <c r="B1" s="5"/>
      <c r="C1" s="5"/>
      <c r="D1" s="5"/>
      <c r="E1" s="5"/>
      <c r="F1" s="68"/>
      <c r="G1" s="68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7" thickBot="1" x14ac:dyDescent="0.45">
      <c r="A2" s="5"/>
      <c r="B2" s="304" t="s">
        <v>272</v>
      </c>
      <c r="C2" s="305"/>
      <c r="D2" s="305"/>
      <c r="E2" s="305"/>
      <c r="F2" s="305"/>
      <c r="G2" s="305"/>
      <c r="H2" s="305"/>
      <c r="I2" s="305"/>
      <c r="J2" s="305"/>
      <c r="K2" s="305"/>
      <c r="L2" s="305"/>
      <c r="M2" s="305"/>
      <c r="N2" s="305"/>
      <c r="O2" s="305"/>
      <c r="P2" s="306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198" customFormat="1" x14ac:dyDescent="0.25">
      <c r="A3" s="95"/>
      <c r="B3" s="95"/>
      <c r="C3" s="95"/>
      <c r="D3" s="95"/>
      <c r="E3" s="95"/>
      <c r="F3" s="176"/>
      <c r="G3" s="176"/>
      <c r="H3" s="177"/>
      <c r="I3" s="95"/>
      <c r="J3" s="95"/>
      <c r="K3" s="95"/>
      <c r="L3" s="95"/>
      <c r="M3" s="95"/>
      <c r="N3" s="95"/>
      <c r="O3" s="95"/>
      <c r="P3" s="95"/>
      <c r="Q3" s="95"/>
      <c r="R3" s="95"/>
      <c r="S3" s="95"/>
      <c r="T3" s="95"/>
      <c r="U3" s="95"/>
      <c r="V3" s="95"/>
      <c r="W3" s="95"/>
      <c r="X3" s="95"/>
      <c r="Y3" s="95"/>
      <c r="Z3" s="95"/>
      <c r="AA3" s="95"/>
      <c r="AB3" s="95"/>
      <c r="AC3" s="95"/>
      <c r="AD3" s="95"/>
      <c r="AE3" s="95"/>
      <c r="AF3" s="95"/>
      <c r="AG3" s="95"/>
      <c r="AH3" s="95"/>
      <c r="AI3" s="95"/>
      <c r="AJ3" s="95"/>
      <c r="AK3" s="95"/>
      <c r="AL3" s="95"/>
      <c r="AM3" s="95"/>
      <c r="AN3" s="95"/>
      <c r="AO3" s="95"/>
      <c r="AP3" s="95"/>
    </row>
    <row r="4" spans="1:42" s="198" customFormat="1" x14ac:dyDescent="0.25">
      <c r="A4" s="95"/>
      <c r="B4" s="95"/>
      <c r="C4" s="95"/>
      <c r="D4" s="95"/>
      <c r="E4" s="95"/>
      <c r="G4" s="176"/>
      <c r="H4" s="336" t="s">
        <v>315</v>
      </c>
      <c r="I4" s="336"/>
      <c r="K4" s="333" t="s">
        <v>253</v>
      </c>
      <c r="L4" s="334"/>
      <c r="M4" s="264">
        <v>4.4999999999999998E-2</v>
      </c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5"/>
      <c r="Z4" s="95"/>
      <c r="AA4" s="95"/>
      <c r="AB4" s="95"/>
      <c r="AC4" s="95"/>
      <c r="AD4" s="95"/>
      <c r="AE4" s="95"/>
      <c r="AF4" s="95"/>
      <c r="AG4" s="95"/>
      <c r="AH4" s="95"/>
      <c r="AI4" s="95"/>
      <c r="AJ4" s="95"/>
      <c r="AK4" s="95"/>
      <c r="AL4" s="95"/>
      <c r="AM4" s="95"/>
      <c r="AN4" s="95"/>
      <c r="AO4" s="95"/>
      <c r="AP4" s="95"/>
    </row>
    <row r="5" spans="1:42" s="198" customFormat="1" x14ac:dyDescent="0.25">
      <c r="A5" s="95"/>
      <c r="B5" s="95"/>
      <c r="C5" s="95"/>
      <c r="D5" s="95"/>
      <c r="E5" s="95"/>
      <c r="G5" s="176"/>
      <c r="K5" s="95"/>
      <c r="L5" s="95"/>
      <c r="M5" s="95"/>
      <c r="N5" s="95"/>
      <c r="O5" s="95"/>
      <c r="P5" s="95"/>
      <c r="Q5" s="95"/>
      <c r="R5" s="95"/>
      <c r="S5" s="95"/>
      <c r="T5" s="95"/>
      <c r="U5" s="95"/>
      <c r="V5" s="95"/>
      <c r="W5" s="95"/>
      <c r="X5" s="95"/>
      <c r="Y5" s="95"/>
      <c r="Z5" s="95"/>
      <c r="AA5" s="95"/>
      <c r="AB5" s="95"/>
      <c r="AC5" s="95"/>
      <c r="AD5" s="95"/>
      <c r="AE5" s="95"/>
      <c r="AF5" s="95"/>
      <c r="AG5" s="95"/>
      <c r="AH5" s="95"/>
      <c r="AI5" s="95"/>
      <c r="AJ5" s="95"/>
      <c r="AK5" s="95"/>
      <c r="AL5" s="95"/>
      <c r="AM5" s="95"/>
      <c r="AN5" s="95"/>
      <c r="AO5" s="95"/>
      <c r="AP5" s="95"/>
    </row>
    <row r="6" spans="1:42" s="198" customFormat="1" ht="15.75" thickBot="1" x14ac:dyDescent="0.3">
      <c r="A6" s="95"/>
      <c r="B6" s="95"/>
      <c r="C6" s="95"/>
      <c r="D6" s="95"/>
      <c r="E6" s="95"/>
      <c r="F6" s="225"/>
      <c r="G6" s="176"/>
      <c r="H6" s="178"/>
      <c r="I6" s="178"/>
      <c r="J6" s="178"/>
      <c r="K6" s="95"/>
      <c r="L6" s="95"/>
      <c r="M6" s="95"/>
      <c r="N6" s="95"/>
      <c r="O6" s="95"/>
      <c r="P6" s="95"/>
      <c r="Q6" s="95"/>
      <c r="R6" s="95"/>
      <c r="S6" s="95"/>
      <c r="T6" s="95"/>
      <c r="U6" s="95"/>
      <c r="V6" s="95"/>
      <c r="W6" s="95"/>
      <c r="X6" s="95"/>
      <c r="Y6" s="95"/>
      <c r="Z6" s="95"/>
      <c r="AA6" s="95"/>
      <c r="AB6" s="95"/>
      <c r="AC6" s="95"/>
      <c r="AD6" s="95"/>
      <c r="AE6" s="95"/>
      <c r="AF6" s="95"/>
      <c r="AG6" s="95"/>
      <c r="AH6" s="95"/>
      <c r="AI6" s="95"/>
      <c r="AJ6" s="95"/>
      <c r="AK6" s="95"/>
      <c r="AL6" s="95"/>
      <c r="AM6" s="95"/>
      <c r="AN6" s="95"/>
      <c r="AO6" s="95"/>
      <c r="AP6" s="95"/>
    </row>
    <row r="7" spans="1:42" s="198" customFormat="1" ht="27.75" customHeight="1" thickBot="1" x14ac:dyDescent="0.45">
      <c r="A7" s="271"/>
      <c r="B7" s="272"/>
      <c r="C7" s="272"/>
      <c r="D7" s="272"/>
      <c r="E7" s="273"/>
      <c r="F7" s="273" t="s">
        <v>192</v>
      </c>
      <c r="G7" s="274"/>
      <c r="H7" s="272"/>
      <c r="I7" s="272"/>
      <c r="J7" s="275"/>
      <c r="K7" s="269"/>
      <c r="L7" s="270"/>
      <c r="M7" s="270"/>
      <c r="N7" s="276" t="s">
        <v>191</v>
      </c>
      <c r="O7" s="276"/>
      <c r="P7" s="277"/>
      <c r="Q7" s="278"/>
      <c r="R7" s="325" t="s">
        <v>310</v>
      </c>
      <c r="S7" s="326"/>
      <c r="T7" s="326"/>
      <c r="U7" s="326"/>
      <c r="V7" s="327"/>
      <c r="X7" s="95"/>
      <c r="Y7" s="95"/>
      <c r="Z7" s="95"/>
      <c r="AA7" s="95"/>
      <c r="AB7" s="95"/>
      <c r="AC7" s="95"/>
      <c r="AD7" s="95"/>
      <c r="AE7" s="95"/>
      <c r="AF7" s="95"/>
      <c r="AG7" s="95"/>
      <c r="AH7" s="95"/>
      <c r="AI7" s="95"/>
      <c r="AJ7" s="95"/>
      <c r="AK7" s="95"/>
      <c r="AL7" s="95"/>
      <c r="AM7" s="95"/>
      <c r="AN7" s="95"/>
      <c r="AO7" s="95"/>
      <c r="AP7" s="95"/>
    </row>
    <row r="8" spans="1:42" x14ac:dyDescent="0.25">
      <c r="A8" s="25"/>
      <c r="C8" s="25"/>
      <c r="D8" s="25"/>
      <c r="E8" s="25"/>
      <c r="F8" s="217"/>
      <c r="G8" s="217"/>
      <c r="H8" s="5"/>
      <c r="I8" s="5"/>
      <c r="J8" s="210"/>
      <c r="K8" s="221"/>
      <c r="L8" s="25"/>
      <c r="M8" s="25"/>
      <c r="N8" s="25"/>
      <c r="O8" s="25"/>
      <c r="P8" s="25"/>
      <c r="Q8" s="261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25">
      <c r="A9" s="256" t="s">
        <v>311</v>
      </c>
      <c r="C9" s="25"/>
      <c r="D9" s="25"/>
      <c r="E9" s="25"/>
      <c r="F9" s="257"/>
      <c r="G9" s="256" t="s">
        <v>314</v>
      </c>
      <c r="J9" s="210"/>
      <c r="K9" s="221"/>
      <c r="O9" s="25"/>
      <c r="P9" s="25"/>
      <c r="Q9" s="261"/>
      <c r="R9" s="25"/>
      <c r="S9" s="5"/>
      <c r="T9" s="181" t="s">
        <v>262</v>
      </c>
      <c r="U9" s="184" t="s">
        <v>249</v>
      </c>
      <c r="V9" s="181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25">
      <c r="A10" s="256" t="s">
        <v>317</v>
      </c>
      <c r="C10" s="25"/>
      <c r="D10" s="25"/>
      <c r="E10" s="25"/>
      <c r="F10" s="257"/>
      <c r="G10" s="256" t="s">
        <v>316</v>
      </c>
      <c r="J10" s="210"/>
      <c r="K10" s="221"/>
      <c r="O10" s="25"/>
      <c r="P10" s="25"/>
      <c r="Q10" s="261"/>
      <c r="R10" s="25"/>
      <c r="S10" s="181" t="str">
        <f>B14</f>
        <v>Charme</v>
      </c>
      <c r="T10" s="185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560.73622299582621</v>
      </c>
      <c r="U10" s="186">
        <f>'Données projet'!D9</f>
        <v>1.05</v>
      </c>
      <c r="V10" s="185">
        <f>U10*T10</f>
        <v>588.77303414561754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25">
      <c r="A11" s="256" t="s">
        <v>312</v>
      </c>
      <c r="B11" s="25"/>
      <c r="C11" s="25"/>
      <c r="D11" s="25"/>
      <c r="E11" s="25"/>
      <c r="F11" s="257"/>
      <c r="G11" s="256" t="s">
        <v>313</v>
      </c>
      <c r="J11" s="210"/>
      <c r="K11" s="221"/>
      <c r="M11" s="5"/>
      <c r="N11" s="5"/>
      <c r="O11" s="25"/>
      <c r="P11" s="25"/>
      <c r="Q11" s="261"/>
      <c r="R11" s="25"/>
      <c r="S11" s="181" t="str">
        <f>B45</f>
        <v>Erable champêtre</v>
      </c>
      <c r="T11" s="268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935.61408813227649</v>
      </c>
      <c r="U11" s="186">
        <f>'Données projet'!D10</f>
        <v>1.05</v>
      </c>
      <c r="V11" s="185">
        <f t="shared" ref="V11" si="0">U11*T11</f>
        <v>982.39479253889033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25">
      <c r="B12" s="25"/>
      <c r="C12" s="25"/>
      <c r="D12" s="25"/>
      <c r="E12" s="25"/>
      <c r="F12" s="257"/>
      <c r="G12" s="1"/>
      <c r="J12" s="210"/>
      <c r="K12" s="221"/>
      <c r="L12" s="213"/>
      <c r="M12" s="25"/>
      <c r="N12" s="25"/>
      <c r="O12" s="25"/>
      <c r="P12" s="25"/>
      <c r="Q12" s="261"/>
      <c r="R12" s="25"/>
      <c r="S12" s="181" t="str">
        <f>B76</f>
        <v>Chêne sessile</v>
      </c>
      <c r="T12" s="268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889.08030056359257</v>
      </c>
      <c r="U12" s="186">
        <f>'Données projet'!D11</f>
        <v>1.05</v>
      </c>
      <c r="V12" s="185">
        <f t="shared" ref="V12:V19" si="1">U12*T12</f>
        <v>933.53431559177227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25">
      <c r="B13" s="25"/>
      <c r="C13" s="25"/>
      <c r="D13" s="25"/>
      <c r="E13" s="25"/>
      <c r="F13" s="257"/>
      <c r="J13" s="25"/>
      <c r="K13" s="221"/>
      <c r="L13" s="180" t="s">
        <v>257</v>
      </c>
      <c r="M13" s="25"/>
      <c r="N13" s="25"/>
      <c r="O13" s="25"/>
      <c r="P13" s="25"/>
      <c r="Q13" s="261"/>
      <c r="R13" s="25"/>
      <c r="S13" s="181" t="str">
        <f>B107</f>
        <v>Chêne pubescent</v>
      </c>
      <c r="T13" s="268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889.08030056359257</v>
      </c>
      <c r="U13" s="186">
        <f>'Données projet'!D12</f>
        <v>0.44982</v>
      </c>
      <c r="V13" s="185">
        <f t="shared" si="1"/>
        <v>399.92610079951521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25">
      <c r="A14" s="49" t="s">
        <v>165</v>
      </c>
      <c r="B14" s="182" t="str">
        <f>IF('Données projet'!$B$9="","",'Données projet'!$B$9)</f>
        <v>Charme</v>
      </c>
      <c r="C14" s="5"/>
      <c r="D14" s="5"/>
      <c r="E14" s="5"/>
      <c r="F14" s="257"/>
      <c r="G14" s="217"/>
      <c r="H14" s="181" t="s">
        <v>178</v>
      </c>
      <c r="I14" s="181" t="s">
        <v>290</v>
      </c>
      <c r="J14" s="211"/>
      <c r="K14" s="179"/>
      <c r="L14" s="213"/>
      <c r="M14" s="25"/>
      <c r="N14" s="25"/>
      <c r="O14" s="5"/>
      <c r="P14" s="5"/>
      <c r="Q14" s="262"/>
      <c r="R14" s="5"/>
      <c r="S14" s="181" t="str">
        <f>B138</f>
        <v>Cormier</v>
      </c>
      <c r="T14" s="268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889.08030056359257</v>
      </c>
      <c r="U14" s="186">
        <f>'Données projet'!D13</f>
        <v>0.12012</v>
      </c>
      <c r="V14" s="185">
        <f t="shared" si="1"/>
        <v>106.79632570369874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25">
      <c r="A15" s="5"/>
      <c r="B15" s="5"/>
      <c r="C15" s="5"/>
      <c r="D15" s="5"/>
      <c r="E15" s="5"/>
      <c r="F15" s="257"/>
      <c r="G15" s="337" t="s">
        <v>318</v>
      </c>
      <c r="H15" s="199">
        <v>0</v>
      </c>
      <c r="I15" s="200">
        <v>0</v>
      </c>
      <c r="J15" s="212"/>
      <c r="K15" s="221"/>
      <c r="L15" s="213"/>
      <c r="M15" s="25"/>
      <c r="N15" s="25"/>
      <c r="O15" s="25"/>
      <c r="P15" s="25"/>
      <c r="Q15" s="261"/>
      <c r="R15" s="25"/>
      <c r="S15" s="181" t="str">
        <f>B169</f>
        <v>Alisier torminal</v>
      </c>
      <c r="T15" s="268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889.08030056359257</v>
      </c>
      <c r="U15" s="186">
        <f>'Données projet'!D14</f>
        <v>0.12012</v>
      </c>
      <c r="V15" s="185">
        <f t="shared" si="1"/>
        <v>106.79632570369874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25">
      <c r="A16" s="253" t="s">
        <v>180</v>
      </c>
      <c r="B16" s="51" t="s">
        <v>256</v>
      </c>
      <c r="C16" s="51" t="s">
        <v>255</v>
      </c>
      <c r="D16" s="253" t="s">
        <v>252</v>
      </c>
      <c r="E16" s="253" t="s">
        <v>320</v>
      </c>
      <c r="F16" s="257"/>
      <c r="G16" s="337"/>
      <c r="H16" s="199"/>
      <c r="I16" s="200"/>
      <c r="J16" s="212"/>
      <c r="K16" s="221"/>
      <c r="L16" s="333" t="s">
        <v>254</v>
      </c>
      <c r="M16" s="334"/>
      <c r="N16" s="2"/>
      <c r="O16" s="25"/>
      <c r="P16" s="25"/>
      <c r="Q16" s="261"/>
      <c r="R16" s="25"/>
      <c r="S16" s="181" t="str">
        <f>B200</f>
        <v>Merisier</v>
      </c>
      <c r="T16" s="268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2358.3681940329943</v>
      </c>
      <c r="U16" s="186">
        <f>'Données projet'!D15</f>
        <v>0.12012</v>
      </c>
      <c r="V16" s="185">
        <f t="shared" si="1"/>
        <v>283.28718746724331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25">
      <c r="A17" s="206">
        <v>0</v>
      </c>
      <c r="B17" s="209" t="s">
        <v>132</v>
      </c>
      <c r="C17" s="208" t="s">
        <v>132</v>
      </c>
      <c r="D17" s="207" t="s">
        <v>132</v>
      </c>
      <c r="E17" s="202"/>
      <c r="F17" s="257"/>
      <c r="G17" s="337"/>
      <c r="J17" s="212"/>
      <c r="K17" s="221"/>
      <c r="L17" s="291" t="s">
        <v>289</v>
      </c>
      <c r="M17" s="293"/>
      <c r="N17" s="183">
        <f>VLOOKUP(N16,Calculateur!$A$2:$H$153,3,0)/VLOOKUP('Scénario référence'!$G$15,Paramètres!A1:I89,3,0)/VLOOKUP('Scénario référence'!$G$15,Paramètres!A1:I89,5,0)</f>
        <v>0</v>
      </c>
      <c r="O17" s="25"/>
      <c r="P17" s="25"/>
      <c r="Q17" s="261"/>
      <c r="R17" s="25"/>
      <c r="S17" s="181" t="str">
        <f>B231</f>
        <v/>
      </c>
      <c r="T17" s="268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86">
        <f>'Données projet'!D16</f>
        <v>0</v>
      </c>
      <c r="V17" s="185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25">
      <c r="A18" s="206">
        <v>1</v>
      </c>
      <c r="B18" s="209" t="s">
        <v>132</v>
      </c>
      <c r="C18" s="208" t="s">
        <v>132</v>
      </c>
      <c r="D18" s="207" t="s">
        <v>132</v>
      </c>
      <c r="E18" s="202"/>
      <c r="F18" s="257"/>
      <c r="G18" s="337"/>
      <c r="J18" s="212"/>
      <c r="K18" s="221"/>
      <c r="L18" s="291" t="s">
        <v>255</v>
      </c>
      <c r="M18" s="293"/>
      <c r="N18" s="201"/>
      <c r="O18" s="25"/>
      <c r="P18" s="25"/>
      <c r="Q18" s="261"/>
      <c r="R18" s="25"/>
      <c r="S18" s="181" t="str">
        <f>B262</f>
        <v/>
      </c>
      <c r="T18" s="268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86">
        <f>'Données projet'!D17</f>
        <v>0</v>
      </c>
      <c r="V18" s="185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25">
      <c r="A19" s="206">
        <v>2</v>
      </c>
      <c r="B19" s="209" t="s">
        <v>132</v>
      </c>
      <c r="C19" s="208" t="s">
        <v>132</v>
      </c>
      <c r="D19" s="207" t="s">
        <v>132</v>
      </c>
      <c r="E19" s="202"/>
      <c r="F19" s="257"/>
      <c r="G19" s="337"/>
      <c r="H19" s="228" t="s">
        <v>178</v>
      </c>
      <c r="I19" s="228" t="s">
        <v>287</v>
      </c>
      <c r="J19" s="256"/>
      <c r="K19" s="179"/>
      <c r="L19" s="333" t="s">
        <v>288</v>
      </c>
      <c r="M19" s="334"/>
      <c r="N19" s="187">
        <f>N17*N18</f>
        <v>0</v>
      </c>
      <c r="O19" s="25"/>
      <c r="P19" s="5"/>
      <c r="Q19" s="262"/>
      <c r="R19" s="5"/>
      <c r="S19" s="181" t="str">
        <f>B293</f>
        <v/>
      </c>
      <c r="T19" s="268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86">
        <f>'Données projet'!D18</f>
        <v>0</v>
      </c>
      <c r="V19" s="185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25">
      <c r="A20" s="206">
        <v>3</v>
      </c>
      <c r="B20" s="209" t="s">
        <v>132</v>
      </c>
      <c r="C20" s="208" t="s">
        <v>132</v>
      </c>
      <c r="D20" s="207" t="s">
        <v>132</v>
      </c>
      <c r="E20" s="202"/>
      <c r="F20" s="257"/>
      <c r="G20" s="337"/>
      <c r="H20" s="199">
        <v>0</v>
      </c>
      <c r="I20" s="200">
        <v>8677</v>
      </c>
      <c r="J20" s="5"/>
      <c r="K20" s="179"/>
      <c r="O20" s="25"/>
      <c r="P20" s="5"/>
      <c r="Q20" s="262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25">
      <c r="A21" s="206">
        <v>4</v>
      </c>
      <c r="B21" s="209" t="s">
        <v>132</v>
      </c>
      <c r="C21" s="208" t="s">
        <v>132</v>
      </c>
      <c r="D21" s="207" t="s">
        <v>132</v>
      </c>
      <c r="E21" s="202"/>
      <c r="F21" s="257"/>
      <c r="H21" s="199"/>
      <c r="I21" s="200"/>
      <c r="K21" s="179"/>
      <c r="O21" s="25"/>
      <c r="P21" s="5"/>
      <c r="Q21" s="262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25">
      <c r="A22" s="206">
        <v>5</v>
      </c>
      <c r="B22" s="209" t="s">
        <v>132</v>
      </c>
      <c r="C22" s="208" t="s">
        <v>132</v>
      </c>
      <c r="D22" s="207" t="s">
        <v>132</v>
      </c>
      <c r="E22" s="202"/>
      <c r="F22" s="257"/>
      <c r="H22" s="199"/>
      <c r="I22" s="200"/>
      <c r="K22" s="179"/>
      <c r="O22" s="25"/>
      <c r="P22" s="5"/>
      <c r="Q22" s="262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25">
      <c r="A23" s="188">
        <f>'Données projet'!A36</f>
        <v>15</v>
      </c>
      <c r="B23" s="189">
        <f>'Données projet'!D36</f>
        <v>0</v>
      </c>
      <c r="C23" s="202"/>
      <c r="D23" s="190">
        <f>B23*C23</f>
        <v>0</v>
      </c>
      <c r="E23" s="202"/>
      <c r="F23" s="257"/>
      <c r="H23" s="199"/>
      <c r="I23" s="200"/>
      <c r="K23" s="221"/>
      <c r="L23" s="335" t="s">
        <v>260</v>
      </c>
      <c r="M23" s="335"/>
      <c r="N23" s="335"/>
      <c r="O23" s="25"/>
      <c r="P23" s="25"/>
      <c r="Q23" s="261"/>
      <c r="R23" s="25"/>
      <c r="S23" s="181" t="s">
        <v>264</v>
      </c>
      <c r="T23" s="330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-33041.891918049565</v>
      </c>
      <c r="U23" s="330"/>
      <c r="V23" s="330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25">
      <c r="A24" s="188">
        <f>'Données projet'!A37</f>
        <v>20</v>
      </c>
      <c r="B24" s="189">
        <f>'Données projet'!D37</f>
        <v>21.153846153846153</v>
      </c>
      <c r="C24" s="202">
        <v>10</v>
      </c>
      <c r="D24" s="190">
        <f t="shared" ref="D24:D42" si="2">B24*C24</f>
        <v>211.53846153846155</v>
      </c>
      <c r="E24" s="202"/>
      <c r="F24" s="260"/>
      <c r="H24" s="199"/>
      <c r="I24" s="200"/>
      <c r="K24" s="221"/>
      <c r="O24" s="25"/>
      <c r="P24" s="25"/>
      <c r="Q24" s="261"/>
      <c r="R24" s="25"/>
      <c r="S24" s="181" t="s">
        <v>261</v>
      </c>
      <c r="T24" s="331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31"/>
      <c r="V24" s="331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25">
      <c r="A25" s="188">
        <f>'Données projet'!A38</f>
        <v>25</v>
      </c>
      <c r="B25" s="189">
        <f>'Données projet'!D38</f>
        <v>0</v>
      </c>
      <c r="C25" s="202"/>
      <c r="D25" s="190">
        <f t="shared" si="2"/>
        <v>0</v>
      </c>
      <c r="E25" s="202"/>
      <c r="F25" s="260"/>
      <c r="G25" s="1"/>
      <c r="H25" s="199"/>
      <c r="I25" s="200"/>
      <c r="K25" s="221"/>
      <c r="L25" s="267" t="s">
        <v>285</v>
      </c>
      <c r="M25" s="267"/>
      <c r="N25" s="267"/>
      <c r="O25" s="267"/>
      <c r="P25" s="201">
        <v>0</v>
      </c>
      <c r="Q25" s="261"/>
      <c r="R25" s="25"/>
      <c r="S25" s="194" t="s">
        <v>266</v>
      </c>
      <c r="T25" s="332">
        <f ca="1">T23-T24</f>
        <v>-33041.891918049565</v>
      </c>
      <c r="U25" s="332"/>
      <c r="V25" s="332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25">
      <c r="A26" s="188">
        <f>'Données projet'!A39</f>
        <v>30</v>
      </c>
      <c r="B26" s="189">
        <f>'Données projet'!D39</f>
        <v>30.769230769230766</v>
      </c>
      <c r="C26" s="202">
        <v>10</v>
      </c>
      <c r="D26" s="190">
        <f t="shared" si="2"/>
        <v>307.69230769230768</v>
      </c>
      <c r="E26" s="202"/>
      <c r="F26" s="260"/>
      <c r="G26" s="255"/>
      <c r="H26" s="199"/>
      <c r="I26" s="200"/>
      <c r="K26" s="221"/>
      <c r="L26" s="319" t="s">
        <v>258</v>
      </c>
      <c r="M26" s="320"/>
      <c r="N26" s="320"/>
      <c r="O26" s="320"/>
      <c r="P26" s="321"/>
      <c r="Q26" s="261"/>
      <c r="R26" s="25"/>
      <c r="S26" s="194" t="s">
        <v>265</v>
      </c>
      <c r="T26" s="329" t="str">
        <f ca="1">IF(T25&lt;0,"Votre projet est additionnel","Votre projet n'est pas additionnel")</f>
        <v>Votre projet est additionnel</v>
      </c>
      <c r="U26" s="329"/>
      <c r="V26" s="329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25">
      <c r="A27" s="188">
        <f>'Données projet'!A40</f>
        <v>35</v>
      </c>
      <c r="B27" s="189">
        <f>'Données projet'!D40</f>
        <v>0</v>
      </c>
      <c r="C27" s="202"/>
      <c r="D27" s="190">
        <f t="shared" si="2"/>
        <v>0</v>
      </c>
      <c r="E27" s="202"/>
      <c r="F27" s="260"/>
      <c r="G27" s="255"/>
      <c r="H27" s="199"/>
      <c r="I27" s="200"/>
      <c r="K27" s="221"/>
      <c r="L27" s="322"/>
      <c r="M27" s="323"/>
      <c r="N27" s="323"/>
      <c r="O27" s="323"/>
      <c r="P27" s="324"/>
      <c r="Q27" s="261"/>
      <c r="R27" s="25"/>
      <c r="S27" s="328" t="s">
        <v>267</v>
      </c>
      <c r="T27" s="328"/>
      <c r="U27" s="328"/>
      <c r="V27" s="328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25">
      <c r="A28" s="188">
        <f>'Données projet'!A41</f>
        <v>40</v>
      </c>
      <c r="B28" s="189">
        <f>'Données projet'!D41</f>
        <v>34.615384615384613</v>
      </c>
      <c r="C28" s="202">
        <v>15</v>
      </c>
      <c r="D28" s="190">
        <f t="shared" si="2"/>
        <v>519.23076923076917</v>
      </c>
      <c r="E28" s="202"/>
      <c r="F28" s="260"/>
      <c r="G28" s="218"/>
      <c r="H28" s="199"/>
      <c r="I28" s="200"/>
      <c r="K28" s="221"/>
      <c r="Q28" s="261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25">
      <c r="A29" s="188">
        <f>'Données projet'!A42</f>
        <v>45</v>
      </c>
      <c r="B29" s="189">
        <f>'Données projet'!D42</f>
        <v>0</v>
      </c>
      <c r="C29" s="202"/>
      <c r="D29" s="190">
        <f t="shared" si="2"/>
        <v>0</v>
      </c>
      <c r="E29" s="202"/>
      <c r="F29" s="260"/>
      <c r="G29" s="214"/>
      <c r="H29" s="199"/>
      <c r="I29" s="200"/>
      <c r="K29" s="221"/>
      <c r="O29" s="25"/>
      <c r="P29" s="25"/>
      <c r="Q29" s="261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25">
      <c r="A30" s="188">
        <f>'Données projet'!A43</f>
        <v>50</v>
      </c>
      <c r="B30" s="189">
        <f>'Données projet'!D43</f>
        <v>34.615384615384613</v>
      </c>
      <c r="C30" s="202">
        <v>20</v>
      </c>
      <c r="D30" s="190">
        <f t="shared" si="2"/>
        <v>692.30769230769226</v>
      </c>
      <c r="E30" s="202"/>
      <c r="F30" s="260"/>
      <c r="G30" s="214"/>
      <c r="H30" s="199"/>
      <c r="I30" s="200"/>
      <c r="K30" s="191"/>
      <c r="L30" s="181" t="s">
        <v>259</v>
      </c>
      <c r="M30" s="192">
        <f ca="1">SUM(OFFSET($P$33,0,0,MIN('Données projet'!$E$9:$E$18)+1,1))</f>
        <v>0</v>
      </c>
      <c r="O30" s="5"/>
      <c r="P30" s="5"/>
      <c r="Q30" s="262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25">
      <c r="A31" s="188">
        <f>'Données projet'!A44</f>
        <v>55</v>
      </c>
      <c r="B31" s="189">
        <f>'Données projet'!D44</f>
        <v>0</v>
      </c>
      <c r="C31" s="202"/>
      <c r="D31" s="190">
        <f t="shared" si="2"/>
        <v>0</v>
      </c>
      <c r="E31" s="202"/>
      <c r="F31" s="260"/>
      <c r="G31" s="214"/>
      <c r="H31" s="199"/>
      <c r="I31" s="200"/>
      <c r="K31" s="179"/>
      <c r="Q31" s="261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25">
      <c r="A32" s="188">
        <f>'Données projet'!A45</f>
        <v>60</v>
      </c>
      <c r="B32" s="189">
        <f>'Données projet'!D45</f>
        <v>33.974358974358971</v>
      </c>
      <c r="C32" s="202">
        <v>25</v>
      </c>
      <c r="D32" s="190">
        <f t="shared" si="2"/>
        <v>849.35897435897425</v>
      </c>
      <c r="E32" s="202"/>
      <c r="F32" s="260"/>
      <c r="G32" s="214"/>
      <c r="H32" s="199"/>
      <c r="I32" s="200"/>
      <c r="K32" s="179"/>
      <c r="N32" s="5"/>
      <c r="O32" s="266" t="s">
        <v>178</v>
      </c>
      <c r="P32" s="266" t="s">
        <v>252</v>
      </c>
      <c r="Q32" s="261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25">
      <c r="A33" s="188">
        <f>'Données projet'!A46</f>
        <v>65</v>
      </c>
      <c r="B33" s="189">
        <f>'Données projet'!D46</f>
        <v>0</v>
      </c>
      <c r="C33" s="202"/>
      <c r="D33" s="190">
        <f t="shared" si="2"/>
        <v>0</v>
      </c>
      <c r="E33" s="202"/>
      <c r="F33" s="260"/>
      <c r="G33" s="214"/>
      <c r="H33" s="199"/>
      <c r="I33" s="200"/>
      <c r="K33" s="179"/>
      <c r="L33" s="5"/>
      <c r="M33" s="5"/>
      <c r="N33" s="5"/>
      <c r="O33" s="203">
        <v>0</v>
      </c>
      <c r="P33" s="193">
        <f t="shared" ref="P33:P64" si="3">$P$25/(1+$M$4)^O33</f>
        <v>0</v>
      </c>
      <c r="Q33" s="261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25">
      <c r="A34" s="188">
        <f>'Données projet'!A47</f>
        <v>70</v>
      </c>
      <c r="B34" s="189">
        <f>'Données projet'!D47</f>
        <v>31.410256410256409</v>
      </c>
      <c r="C34" s="202">
        <v>25</v>
      </c>
      <c r="D34" s="190">
        <f t="shared" si="2"/>
        <v>785.25641025641016</v>
      </c>
      <c r="E34" s="202"/>
      <c r="F34" s="260"/>
      <c r="G34" s="214"/>
      <c r="H34" s="199"/>
      <c r="I34" s="200"/>
      <c r="K34" s="179"/>
      <c r="L34" s="280"/>
      <c r="M34" s="280"/>
      <c r="N34" s="281"/>
      <c r="O34" s="203">
        <f>IF(O33+1&lt;=MIN('Données projet'!$E$9:$E$18),O33+1,"STOP")</f>
        <v>1</v>
      </c>
      <c r="P34" s="193">
        <f t="shared" si="3"/>
        <v>0</v>
      </c>
      <c r="Q34" s="261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25">
      <c r="A35" s="188">
        <f>'Données projet'!A48</f>
        <v>75</v>
      </c>
      <c r="B35" s="189">
        <f>'Données projet'!D48</f>
        <v>0</v>
      </c>
      <c r="C35" s="202"/>
      <c r="D35" s="190">
        <f t="shared" si="2"/>
        <v>0</v>
      </c>
      <c r="E35" s="202"/>
      <c r="F35" s="260"/>
      <c r="G35" s="214"/>
      <c r="H35" s="199"/>
      <c r="I35" s="200"/>
      <c r="K35" s="179"/>
      <c r="L35" s="280"/>
      <c r="M35" s="280"/>
      <c r="N35" s="281"/>
      <c r="O35" s="203">
        <f>IF(O34+1&lt;=MIN('Données projet'!$E$9:$E$18),O34+1,"STOP")</f>
        <v>2</v>
      </c>
      <c r="P35" s="193">
        <f t="shared" si="3"/>
        <v>0</v>
      </c>
      <c r="Q35" s="261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25">
      <c r="A36" s="188">
        <f>'Données projet'!A49</f>
        <v>80</v>
      </c>
      <c r="B36" s="189">
        <f>'Données projet'!D49</f>
        <v>30.128205128205128</v>
      </c>
      <c r="C36" s="202">
        <v>30</v>
      </c>
      <c r="D36" s="190">
        <f t="shared" si="2"/>
        <v>903.84615384615381</v>
      </c>
      <c r="E36" s="202"/>
      <c r="F36" s="260"/>
      <c r="G36" s="214"/>
      <c r="H36" s="199"/>
      <c r="I36" s="200"/>
      <c r="K36" s="179"/>
      <c r="L36" s="25"/>
      <c r="M36" s="25"/>
      <c r="N36" s="25"/>
      <c r="O36" s="203">
        <f>IF(O35+1&lt;=MIN('Données projet'!$E$9:$E$18),O35+1,"STOP")</f>
        <v>3</v>
      </c>
      <c r="P36" s="193">
        <f t="shared" si="3"/>
        <v>0</v>
      </c>
      <c r="Q36" s="261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25">
      <c r="A37" s="188">
        <f>'Données projet'!A50</f>
        <v>85</v>
      </c>
      <c r="B37" s="189">
        <f>'Données projet'!D50</f>
        <v>0</v>
      </c>
      <c r="C37" s="202"/>
      <c r="D37" s="190">
        <f t="shared" si="2"/>
        <v>0</v>
      </c>
      <c r="E37" s="202"/>
      <c r="F37" s="260"/>
      <c r="G37" s="214"/>
      <c r="H37" s="199"/>
      <c r="I37" s="200"/>
      <c r="K37" s="179"/>
      <c r="L37" s="25"/>
      <c r="M37" s="25"/>
      <c r="N37" s="25"/>
      <c r="O37" s="203">
        <f>IF(O36+1&lt;=MIN('Données projet'!$E$9:$E$18),O36+1,"STOP")</f>
        <v>4</v>
      </c>
      <c r="P37" s="193">
        <f t="shared" si="3"/>
        <v>0</v>
      </c>
      <c r="Q37" s="261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25">
      <c r="A38" s="188">
        <f>'Données projet'!A51</f>
        <v>90</v>
      </c>
      <c r="B38" s="189">
        <f>'Données projet'!D51</f>
        <v>28.205128205128204</v>
      </c>
      <c r="C38" s="202">
        <v>30</v>
      </c>
      <c r="D38" s="190">
        <f t="shared" si="2"/>
        <v>846.15384615384619</v>
      </c>
      <c r="E38" s="202"/>
      <c r="F38" s="260"/>
      <c r="G38" s="214"/>
      <c r="H38" s="199"/>
      <c r="I38" s="200"/>
      <c r="K38" s="179"/>
      <c r="L38" s="25"/>
      <c r="M38" s="25"/>
      <c r="N38" s="25"/>
      <c r="O38" s="203">
        <f>IF(O37+1&lt;=MIN('Données projet'!$E$9:$E$18),O37+1,"STOP")</f>
        <v>5</v>
      </c>
      <c r="P38" s="193">
        <f t="shared" si="3"/>
        <v>0</v>
      </c>
      <c r="Q38" s="261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25">
      <c r="A39" s="188">
        <f>'Données projet'!A52</f>
        <v>95</v>
      </c>
      <c r="B39" s="189">
        <f>'Données projet'!D52</f>
        <v>0</v>
      </c>
      <c r="C39" s="202"/>
      <c r="D39" s="190">
        <f t="shared" si="2"/>
        <v>0</v>
      </c>
      <c r="E39" s="202"/>
      <c r="F39" s="260"/>
      <c r="G39" s="214"/>
      <c r="H39" s="199"/>
      <c r="I39" s="200"/>
      <c r="K39" s="221"/>
      <c r="L39" s="25"/>
      <c r="M39" s="25"/>
      <c r="N39" s="25"/>
      <c r="O39" s="203">
        <f>IF(O38+1&lt;=MIN('Données projet'!$E$9:$E$18),O38+1,"STOP")</f>
        <v>6</v>
      </c>
      <c r="P39" s="193">
        <f t="shared" si="3"/>
        <v>0</v>
      </c>
      <c r="Q39" s="261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25">
      <c r="A40" s="188">
        <f>'Données projet'!A53</f>
        <v>100</v>
      </c>
      <c r="B40" s="189">
        <f>'Données projet'!D53</f>
        <v>26.282051282051281</v>
      </c>
      <c r="C40" s="202">
        <v>40</v>
      </c>
      <c r="D40" s="190">
        <f t="shared" si="2"/>
        <v>1051.2820512820513</v>
      </c>
      <c r="E40" s="202"/>
      <c r="F40" s="260"/>
      <c r="G40" s="214"/>
      <c r="H40" s="199"/>
      <c r="I40" s="200"/>
      <c r="K40" s="221"/>
      <c r="L40" s="25"/>
      <c r="M40" s="25"/>
      <c r="N40" s="25"/>
      <c r="O40" s="203">
        <f>IF(O39+1&lt;=MIN('Données projet'!$E$9:$E$18),O39+1,"STOP")</f>
        <v>7</v>
      </c>
      <c r="P40" s="193">
        <f t="shared" si="3"/>
        <v>0</v>
      </c>
      <c r="Q40" s="261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25">
      <c r="A41" s="188">
        <f>'Données projet'!A54</f>
        <v>110</v>
      </c>
      <c r="B41" s="189">
        <f>'Données projet'!D54</f>
        <v>25</v>
      </c>
      <c r="C41" s="202"/>
      <c r="D41" s="190">
        <f t="shared" si="2"/>
        <v>0</v>
      </c>
      <c r="E41" s="202"/>
      <c r="F41" s="260"/>
      <c r="G41" s="214"/>
      <c r="H41" s="199"/>
      <c r="I41" s="200"/>
      <c r="K41" s="221"/>
      <c r="L41" s="25"/>
      <c r="M41" s="25"/>
      <c r="N41" s="25"/>
      <c r="O41" s="203">
        <f>IF(O40+1&lt;=MIN('Données projet'!$E$9:$E$18),O40+1,"STOP")</f>
        <v>8</v>
      </c>
      <c r="P41" s="193">
        <f t="shared" si="3"/>
        <v>0</v>
      </c>
      <c r="Q41" s="261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25">
      <c r="A42" s="188">
        <f>'Données projet'!A55</f>
        <v>120</v>
      </c>
      <c r="B42" s="189">
        <f>'Données projet'!D55</f>
        <v>285.89743589743591</v>
      </c>
      <c r="C42" s="202">
        <v>50</v>
      </c>
      <c r="D42" s="190">
        <f t="shared" si="2"/>
        <v>14294.871794871795</v>
      </c>
      <c r="E42" s="202"/>
      <c r="F42" s="260"/>
      <c r="G42" s="214"/>
      <c r="H42" s="199"/>
      <c r="I42" s="200"/>
      <c r="K42" s="221"/>
      <c r="L42" s="25"/>
      <c r="M42" s="25"/>
      <c r="N42" s="25"/>
      <c r="O42" s="203">
        <f>IF(O41+1&lt;=MIN('Données projet'!$E$9:$E$18),O41+1,"STOP")</f>
        <v>9</v>
      </c>
      <c r="P42" s="193">
        <f t="shared" si="3"/>
        <v>0</v>
      </c>
      <c r="Q42" s="261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25">
      <c r="A43" s="195"/>
      <c r="B43" s="195"/>
      <c r="C43" s="195"/>
      <c r="D43" s="252"/>
      <c r="E43" s="252"/>
      <c r="F43" s="265"/>
      <c r="G43" s="214"/>
      <c r="H43" s="199"/>
      <c r="I43" s="200"/>
      <c r="K43" s="221"/>
      <c r="L43" s="25"/>
      <c r="M43" s="25"/>
      <c r="N43" s="25"/>
      <c r="O43" s="203">
        <f>IF(O42+1&lt;=MIN('Données projet'!$E$9:$E$18),O42+1,"STOP")</f>
        <v>10</v>
      </c>
      <c r="P43" s="193">
        <f t="shared" si="3"/>
        <v>0</v>
      </c>
      <c r="Q43" s="262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25">
      <c r="A44" s="5"/>
      <c r="B44" s="5"/>
      <c r="C44" s="5"/>
      <c r="D44" s="5"/>
      <c r="E44" s="5"/>
      <c r="F44" s="257"/>
      <c r="G44" s="214"/>
      <c r="H44" s="199"/>
      <c r="I44" s="200"/>
      <c r="K44" s="221"/>
      <c r="L44" s="25"/>
      <c r="M44" s="25"/>
      <c r="N44" s="25"/>
      <c r="O44" s="203">
        <f>IF(O43+1&lt;=MIN('Données projet'!$E$9:$E$18),O43+1,"STOP")</f>
        <v>11</v>
      </c>
      <c r="P44" s="193">
        <f t="shared" si="3"/>
        <v>0</v>
      </c>
      <c r="Q44" s="262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25">
      <c r="A45" s="49" t="s">
        <v>166</v>
      </c>
      <c r="B45" s="182" t="str">
        <f>IF('Données projet'!$B$10="","",'Données projet'!$B$10)</f>
        <v>Erable champêtre</v>
      </c>
      <c r="C45" s="5"/>
      <c r="D45" s="5"/>
      <c r="E45" s="5"/>
      <c r="F45" s="257"/>
      <c r="G45" s="214"/>
      <c r="H45" s="199"/>
      <c r="I45" s="200"/>
      <c r="J45" s="25"/>
      <c r="K45" s="221"/>
      <c r="L45" s="25"/>
      <c r="M45" s="25"/>
      <c r="N45" s="25"/>
      <c r="O45" s="203">
        <f>IF(O44+1&lt;=MIN('Données projet'!$E$9:$E$18),O44+1,"STOP")</f>
        <v>12</v>
      </c>
      <c r="P45" s="193">
        <f t="shared" si="3"/>
        <v>0</v>
      </c>
      <c r="Q45" s="262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25">
      <c r="A46" s="5"/>
      <c r="B46" s="5"/>
      <c r="C46" s="5"/>
      <c r="D46" s="5"/>
      <c r="E46" s="5"/>
      <c r="F46" s="257"/>
      <c r="G46" s="214"/>
      <c r="H46" s="199"/>
      <c r="I46" s="200"/>
      <c r="J46" s="25"/>
      <c r="K46" s="221"/>
      <c r="L46" s="216"/>
      <c r="M46" s="216"/>
      <c r="N46" s="216"/>
      <c r="O46" s="203">
        <f>IF(O45+1&lt;=MIN('Données projet'!$E$9:$E$18),O45+1,"STOP")</f>
        <v>13</v>
      </c>
      <c r="P46" s="196">
        <f t="shared" si="3"/>
        <v>0</v>
      </c>
      <c r="Q46" s="262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25">
      <c r="A47" s="253" t="s">
        <v>180</v>
      </c>
      <c r="B47" s="51" t="s">
        <v>256</v>
      </c>
      <c r="C47" s="51" t="s">
        <v>255</v>
      </c>
      <c r="D47" s="253" t="s">
        <v>252</v>
      </c>
      <c r="E47" s="253" t="s">
        <v>320</v>
      </c>
      <c r="F47" s="258"/>
      <c r="G47" s="214"/>
      <c r="H47" s="199"/>
      <c r="I47" s="200"/>
      <c r="J47" s="25"/>
      <c r="K47" s="221"/>
      <c r="L47" s="5"/>
      <c r="M47" s="5"/>
      <c r="N47" s="5"/>
      <c r="O47" s="203">
        <f>IF(O46+1&lt;=MIN('Données projet'!$E$9:$E$18),O46+1,"STOP")</f>
        <v>14</v>
      </c>
      <c r="P47" s="193">
        <f t="shared" si="3"/>
        <v>0</v>
      </c>
      <c r="Q47" s="262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25">
      <c r="A48" s="206">
        <v>0</v>
      </c>
      <c r="B48" s="209" t="s">
        <v>132</v>
      </c>
      <c r="C48" s="208" t="s">
        <v>132</v>
      </c>
      <c r="D48" s="207" t="s">
        <v>132</v>
      </c>
      <c r="E48" s="202"/>
      <c r="F48" s="258"/>
      <c r="G48" s="214"/>
      <c r="H48" s="199"/>
      <c r="I48" s="200"/>
      <c r="J48" s="25"/>
      <c r="K48" s="221"/>
      <c r="L48" s="5"/>
      <c r="M48" s="5"/>
      <c r="N48" s="5"/>
      <c r="O48" s="203">
        <f>IF(O47+1&lt;=MIN('Données projet'!$E$9:$E$18),O47+1,"STOP")</f>
        <v>15</v>
      </c>
      <c r="P48" s="193">
        <f t="shared" si="3"/>
        <v>0</v>
      </c>
      <c r="Q48" s="262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4" customFormat="1" ht="17.25" customHeight="1" x14ac:dyDescent="0.25">
      <c r="A49" s="206">
        <v>1</v>
      </c>
      <c r="B49" s="209" t="s">
        <v>132</v>
      </c>
      <c r="C49" s="208" t="s">
        <v>132</v>
      </c>
      <c r="D49" s="207" t="s">
        <v>132</v>
      </c>
      <c r="E49" s="202"/>
      <c r="F49" s="258"/>
      <c r="G49" s="215"/>
      <c r="H49" s="199"/>
      <c r="I49" s="200"/>
      <c r="J49" s="216"/>
      <c r="K49" s="223"/>
      <c r="L49" s="5"/>
      <c r="M49" s="5"/>
      <c r="N49" s="5"/>
      <c r="O49" s="203">
        <f>IF(O48+1&lt;=MIN('Données projet'!$E$9:$E$18),O48+1,"STOP")</f>
        <v>16</v>
      </c>
      <c r="P49" s="193">
        <f t="shared" si="3"/>
        <v>0</v>
      </c>
      <c r="Q49" s="263"/>
      <c r="R49" s="195"/>
      <c r="S49" s="195"/>
      <c r="T49" s="195"/>
      <c r="U49" s="195"/>
      <c r="V49" s="195"/>
      <c r="W49" s="195"/>
      <c r="X49" s="195"/>
      <c r="Y49" s="195"/>
      <c r="Z49" s="195"/>
      <c r="AA49" s="195"/>
      <c r="AB49" s="195"/>
      <c r="AC49" s="195"/>
      <c r="AD49" s="195"/>
      <c r="AE49" s="195"/>
      <c r="AF49" s="195"/>
      <c r="AG49" s="195"/>
      <c r="AH49" s="195"/>
      <c r="AI49" s="195"/>
      <c r="AJ49" s="195"/>
      <c r="AK49" s="195"/>
      <c r="AL49" s="195"/>
      <c r="AM49" s="195"/>
      <c r="AN49" s="195"/>
      <c r="AO49" s="195"/>
      <c r="AP49" s="195"/>
      <c r="AQ49" s="195"/>
      <c r="AR49" s="195"/>
      <c r="AS49" s="195"/>
      <c r="AT49" s="195"/>
      <c r="AU49" s="195"/>
      <c r="AV49" s="195"/>
      <c r="AW49" s="195"/>
      <c r="AX49" s="195"/>
      <c r="AY49" s="195"/>
      <c r="AZ49" s="195"/>
      <c r="BA49" s="195"/>
      <c r="BB49" s="195"/>
      <c r="BC49" s="195"/>
      <c r="BD49" s="195"/>
    </row>
    <row r="50" spans="1:56" x14ac:dyDescent="0.25">
      <c r="A50" s="206">
        <v>2</v>
      </c>
      <c r="B50" s="209" t="s">
        <v>132</v>
      </c>
      <c r="C50" s="208" t="s">
        <v>132</v>
      </c>
      <c r="D50" s="207" t="s">
        <v>132</v>
      </c>
      <c r="E50" s="202"/>
      <c r="F50" s="258"/>
      <c r="G50" s="217"/>
      <c r="H50" s="199"/>
      <c r="I50" s="200"/>
      <c r="J50" s="25"/>
      <c r="K50" s="179"/>
      <c r="L50" s="5"/>
      <c r="M50" s="5"/>
      <c r="N50" s="5"/>
      <c r="O50" s="203">
        <f>IF(O49+1&lt;=MIN('Données projet'!$E$9:$E$18),O49+1,"STOP")</f>
        <v>17</v>
      </c>
      <c r="P50" s="193">
        <f t="shared" si="3"/>
        <v>0</v>
      </c>
      <c r="Q50" s="262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25">
      <c r="A51" s="206">
        <v>3</v>
      </c>
      <c r="B51" s="209" t="s">
        <v>132</v>
      </c>
      <c r="C51" s="208" t="s">
        <v>132</v>
      </c>
      <c r="D51" s="207" t="s">
        <v>132</v>
      </c>
      <c r="E51" s="202"/>
      <c r="F51" s="258"/>
      <c r="G51" s="217"/>
      <c r="H51" s="199"/>
      <c r="I51" s="200"/>
      <c r="J51" s="25"/>
      <c r="K51" s="179"/>
      <c r="L51" s="5"/>
      <c r="M51" s="5"/>
      <c r="N51" s="5"/>
      <c r="O51" s="203">
        <f>IF(O50+1&lt;=MIN('Données projet'!$E$9:$E$18),O50+1,"STOP")</f>
        <v>18</v>
      </c>
      <c r="P51" s="193">
        <f t="shared" si="3"/>
        <v>0</v>
      </c>
      <c r="Q51" s="262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25">
      <c r="A52" s="206">
        <v>4</v>
      </c>
      <c r="B52" s="209" t="s">
        <v>132</v>
      </c>
      <c r="C52" s="208" t="s">
        <v>132</v>
      </c>
      <c r="D52" s="207" t="s">
        <v>132</v>
      </c>
      <c r="E52" s="202"/>
      <c r="F52" s="258"/>
      <c r="G52" s="217"/>
      <c r="H52" s="199"/>
      <c r="I52" s="200"/>
      <c r="J52" s="25"/>
      <c r="K52" s="179"/>
      <c r="L52" s="5"/>
      <c r="M52" s="5"/>
      <c r="N52" s="5"/>
      <c r="O52" s="203">
        <f>IF(O51+1&lt;=MIN('Données projet'!$E$9:$E$18),O51+1,"STOP")</f>
        <v>19</v>
      </c>
      <c r="P52" s="193">
        <f t="shared" si="3"/>
        <v>0</v>
      </c>
      <c r="Q52" s="262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25">
      <c r="A53" s="206">
        <v>5</v>
      </c>
      <c r="B53" s="209" t="s">
        <v>132</v>
      </c>
      <c r="C53" s="208" t="s">
        <v>132</v>
      </c>
      <c r="D53" s="207" t="s">
        <v>132</v>
      </c>
      <c r="E53" s="202"/>
      <c r="F53" s="258"/>
      <c r="G53" s="218"/>
      <c r="H53" s="199"/>
      <c r="I53" s="200"/>
      <c r="J53" s="25"/>
      <c r="K53" s="179"/>
      <c r="L53" s="5"/>
      <c r="M53" s="5"/>
      <c r="N53" s="5"/>
      <c r="O53" s="203">
        <f>IF(O52+1&lt;=MIN('Données projet'!$E$9:$E$18),O52+1,"STOP")</f>
        <v>20</v>
      </c>
      <c r="P53" s="193">
        <f t="shared" si="3"/>
        <v>0</v>
      </c>
      <c r="Q53" s="262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25">
      <c r="A54" s="188">
        <f>'Données projet'!A62</f>
        <v>15</v>
      </c>
      <c r="B54" s="189">
        <f>'Données projet'!D62</f>
        <v>0</v>
      </c>
      <c r="C54" s="200"/>
      <c r="D54" s="187">
        <f>B54*C54</f>
        <v>0</v>
      </c>
      <c r="E54" s="202"/>
      <c r="F54" s="259"/>
      <c r="G54" s="218"/>
      <c r="H54" s="199"/>
      <c r="I54" s="200"/>
      <c r="J54" s="25"/>
      <c r="K54" s="179"/>
      <c r="L54" s="5"/>
      <c r="M54" s="5"/>
      <c r="N54" s="5"/>
      <c r="O54" s="203">
        <f>IF(O53+1&lt;=MIN('Données projet'!$E$9:$E$18),O53+1,"STOP")</f>
        <v>21</v>
      </c>
      <c r="P54" s="193">
        <f t="shared" si="3"/>
        <v>0</v>
      </c>
      <c r="Q54" s="262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25">
      <c r="A55" s="188">
        <f>'Données projet'!A63</f>
        <v>20</v>
      </c>
      <c r="B55" s="189">
        <f>'Données projet'!D63</f>
        <v>0</v>
      </c>
      <c r="C55" s="200"/>
      <c r="D55" s="187">
        <f t="shared" ref="D55:D73" si="4">B55*C55</f>
        <v>0</v>
      </c>
      <c r="E55" s="202"/>
      <c r="F55" s="259"/>
      <c r="G55" s="218"/>
      <c r="H55" s="199"/>
      <c r="I55" s="200"/>
      <c r="J55" s="25"/>
      <c r="K55" s="179"/>
      <c r="L55" s="5"/>
      <c r="M55" s="5"/>
      <c r="N55" s="5"/>
      <c r="O55" s="203">
        <f>IF(O54+1&lt;=MIN('Données projet'!$E$9:$E$18),O54+1,"STOP")</f>
        <v>22</v>
      </c>
      <c r="P55" s="193">
        <f t="shared" si="3"/>
        <v>0</v>
      </c>
      <c r="Q55" s="262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25">
      <c r="A56" s="188">
        <f>'Données projet'!A64</f>
        <v>25</v>
      </c>
      <c r="B56" s="189">
        <f>'Données projet'!D64</f>
        <v>42</v>
      </c>
      <c r="C56" s="200">
        <v>10</v>
      </c>
      <c r="D56" s="187">
        <f t="shared" si="4"/>
        <v>420</v>
      </c>
      <c r="E56" s="202"/>
      <c r="F56" s="259"/>
      <c r="G56" s="218"/>
      <c r="H56" s="199"/>
      <c r="I56" s="200"/>
      <c r="J56" s="25"/>
      <c r="K56" s="179"/>
      <c r="L56" s="5"/>
      <c r="M56" s="5"/>
      <c r="N56" s="5"/>
      <c r="O56" s="203">
        <f>IF(O55+1&lt;=MIN('Données projet'!$E$9:$E$18),O55+1,"STOP")</f>
        <v>23</v>
      </c>
      <c r="P56" s="193">
        <f t="shared" si="3"/>
        <v>0</v>
      </c>
      <c r="Q56" s="262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25">
      <c r="A57" s="188">
        <f>'Données projet'!A65</f>
        <v>30</v>
      </c>
      <c r="B57" s="189">
        <f>'Données projet'!D65</f>
        <v>0</v>
      </c>
      <c r="C57" s="200"/>
      <c r="D57" s="187">
        <f t="shared" si="4"/>
        <v>0</v>
      </c>
      <c r="E57" s="202"/>
      <c r="F57" s="259"/>
      <c r="G57" s="218"/>
      <c r="H57" s="199"/>
      <c r="I57" s="200"/>
      <c r="J57" s="25"/>
      <c r="K57" s="179"/>
      <c r="L57" s="5"/>
      <c r="M57" s="5"/>
      <c r="N57" s="5"/>
      <c r="O57" s="203">
        <f>IF(O56+1&lt;=MIN('Données projet'!$E$9:$E$18),O56+1,"STOP")</f>
        <v>24</v>
      </c>
      <c r="P57" s="193">
        <f t="shared" si="3"/>
        <v>0</v>
      </c>
      <c r="Q57" s="262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25">
      <c r="A58" s="188">
        <f>'Données projet'!A66</f>
        <v>35</v>
      </c>
      <c r="B58" s="189">
        <f>'Données projet'!D66</f>
        <v>42</v>
      </c>
      <c r="C58" s="200">
        <v>10</v>
      </c>
      <c r="D58" s="187">
        <f t="shared" si="4"/>
        <v>420</v>
      </c>
      <c r="E58" s="202"/>
      <c r="F58" s="259"/>
      <c r="G58" s="218"/>
      <c r="H58" s="199"/>
      <c r="I58" s="200"/>
      <c r="J58" s="25"/>
      <c r="K58" s="179"/>
      <c r="L58" s="5"/>
      <c r="M58" s="5"/>
      <c r="N58" s="5"/>
      <c r="O58" s="203">
        <f>IF(O57+1&lt;=MIN('Données projet'!$E$9:$E$18),O57+1,"STOP")</f>
        <v>25</v>
      </c>
      <c r="P58" s="193">
        <f t="shared" si="3"/>
        <v>0</v>
      </c>
      <c r="Q58" s="262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25">
      <c r="A59" s="188">
        <f>'Données projet'!A67</f>
        <v>40</v>
      </c>
      <c r="B59" s="189">
        <f>'Données projet'!D67</f>
        <v>0</v>
      </c>
      <c r="C59" s="200"/>
      <c r="D59" s="187">
        <f t="shared" si="4"/>
        <v>0</v>
      </c>
      <c r="E59" s="202"/>
      <c r="F59" s="259"/>
      <c r="G59" s="218"/>
      <c r="H59" s="199"/>
      <c r="I59" s="200"/>
      <c r="J59" s="25"/>
      <c r="K59" s="179"/>
      <c r="L59" s="5"/>
      <c r="M59" s="5"/>
      <c r="N59" s="5"/>
      <c r="O59" s="203">
        <f>IF(O58+1&lt;=MIN('Données projet'!$E$9:$E$18),O58+1,"STOP")</f>
        <v>26</v>
      </c>
      <c r="P59" s="193">
        <f t="shared" si="3"/>
        <v>0</v>
      </c>
      <c r="Q59" s="262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25">
      <c r="A60" s="188">
        <f>'Données projet'!A68</f>
        <v>45</v>
      </c>
      <c r="B60" s="189">
        <f>'Données projet'!D68</f>
        <v>39</v>
      </c>
      <c r="C60" s="200">
        <v>15</v>
      </c>
      <c r="D60" s="187">
        <f t="shared" si="4"/>
        <v>585</v>
      </c>
      <c r="E60" s="202"/>
      <c r="F60" s="259"/>
      <c r="G60" s="219"/>
      <c r="H60" s="199"/>
      <c r="I60" s="200"/>
      <c r="J60" s="25"/>
      <c r="K60" s="179"/>
      <c r="L60" s="5"/>
      <c r="M60" s="5"/>
      <c r="N60" s="5"/>
      <c r="O60" s="203">
        <f>IF(O59+1&lt;=MIN('Données projet'!$E$9:$E$18),O59+1,"STOP")</f>
        <v>27</v>
      </c>
      <c r="P60" s="193">
        <f t="shared" si="3"/>
        <v>0</v>
      </c>
      <c r="Q60" s="262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25">
      <c r="A61" s="188">
        <f>'Données projet'!A69</f>
        <v>50</v>
      </c>
      <c r="B61" s="189">
        <f>'Données projet'!D69</f>
        <v>0</v>
      </c>
      <c r="C61" s="200"/>
      <c r="D61" s="187">
        <f t="shared" si="4"/>
        <v>0</v>
      </c>
      <c r="E61" s="202"/>
      <c r="F61" s="259"/>
      <c r="G61" s="219"/>
      <c r="H61" s="199"/>
      <c r="I61" s="200"/>
      <c r="J61" s="25"/>
      <c r="K61" s="179"/>
      <c r="L61" s="5"/>
      <c r="M61" s="5"/>
      <c r="N61" s="5"/>
      <c r="O61" s="203">
        <f>IF(O60+1&lt;=MIN('Données projet'!$E$9:$E$18),O60+1,"STOP")</f>
        <v>28</v>
      </c>
      <c r="P61" s="193">
        <f t="shared" si="3"/>
        <v>0</v>
      </c>
      <c r="Q61" s="262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25">
      <c r="A62" s="188">
        <f>'Données projet'!A70</f>
        <v>55</v>
      </c>
      <c r="B62" s="189">
        <f>'Données projet'!D70</f>
        <v>24</v>
      </c>
      <c r="C62" s="200">
        <v>20</v>
      </c>
      <c r="D62" s="187">
        <f t="shared" si="4"/>
        <v>480</v>
      </c>
      <c r="E62" s="202"/>
      <c r="F62" s="259"/>
      <c r="G62" s="219"/>
      <c r="H62" s="199"/>
      <c r="I62" s="200"/>
      <c r="J62" s="25"/>
      <c r="K62" s="179"/>
      <c r="L62" s="5"/>
      <c r="M62" s="5"/>
      <c r="N62" s="5"/>
      <c r="O62" s="203">
        <f>IF(O61+1&lt;=MIN('Données projet'!$E$9:$E$18),O61+1,"STOP")</f>
        <v>29</v>
      </c>
      <c r="P62" s="193">
        <f t="shared" si="3"/>
        <v>0</v>
      </c>
      <c r="Q62" s="262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25">
      <c r="A63" s="188">
        <f>'Données projet'!A71</f>
        <v>60</v>
      </c>
      <c r="B63" s="189">
        <f>'Données projet'!D71</f>
        <v>0</v>
      </c>
      <c r="C63" s="200"/>
      <c r="D63" s="187">
        <f t="shared" si="4"/>
        <v>0</v>
      </c>
      <c r="E63" s="202"/>
      <c r="F63" s="259"/>
      <c r="G63" s="219"/>
      <c r="H63" s="199"/>
      <c r="I63" s="200"/>
      <c r="J63" s="25"/>
      <c r="K63" s="179"/>
      <c r="L63" s="5"/>
      <c r="M63" s="5"/>
      <c r="N63" s="5"/>
      <c r="O63" s="203">
        <f>IF(O62+1&lt;=MIN('Données projet'!$E$9:$E$18),O62+1,"STOP")</f>
        <v>30</v>
      </c>
      <c r="P63" s="193">
        <f t="shared" si="3"/>
        <v>0</v>
      </c>
      <c r="Q63" s="262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25">
      <c r="A64" s="188">
        <f>'Données projet'!A72</f>
        <v>65</v>
      </c>
      <c r="B64" s="189">
        <f>'Données projet'!D72</f>
        <v>17</v>
      </c>
      <c r="C64" s="200">
        <v>30</v>
      </c>
      <c r="D64" s="187">
        <f t="shared" si="4"/>
        <v>510</v>
      </c>
      <c r="E64" s="202"/>
      <c r="F64" s="259"/>
      <c r="G64" s="219"/>
      <c r="H64" s="199"/>
      <c r="I64" s="200"/>
      <c r="J64" s="220"/>
      <c r="K64" s="179"/>
      <c r="L64" s="5"/>
      <c r="M64" s="5"/>
      <c r="N64" s="5"/>
      <c r="O64" s="203">
        <f>IF(O63+1&lt;=MIN('Données projet'!$E$9:$E$18),O63+1,"STOP")</f>
        <v>31</v>
      </c>
      <c r="P64" s="193">
        <f t="shared" si="3"/>
        <v>0</v>
      </c>
      <c r="Q64" s="262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25">
      <c r="A65" s="188">
        <f>'Données projet'!A73</f>
        <v>70</v>
      </c>
      <c r="B65" s="189">
        <f>'Données projet'!D73</f>
        <v>0</v>
      </c>
      <c r="C65" s="200"/>
      <c r="D65" s="187">
        <f t="shared" si="4"/>
        <v>0</v>
      </c>
      <c r="E65" s="202"/>
      <c r="F65" s="259"/>
      <c r="G65" s="219"/>
      <c r="H65" s="199"/>
      <c r="I65" s="200"/>
      <c r="J65" s="197"/>
      <c r="K65" s="179"/>
      <c r="L65" s="5"/>
      <c r="M65" s="5"/>
      <c r="N65" s="5"/>
      <c r="O65" s="203">
        <f>IF(O64+1&lt;=MIN('Données projet'!$E$9:$E$18),O64+1,"STOP")</f>
        <v>32</v>
      </c>
      <c r="P65" s="193">
        <f t="shared" ref="P65:P96" si="5">$P$25/(1+$M$4)^O65</f>
        <v>0</v>
      </c>
      <c r="Q65" s="262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25">
      <c r="A66" s="188">
        <f>'Données projet'!A74</f>
        <v>75</v>
      </c>
      <c r="B66" s="189">
        <f>'Données projet'!D74</f>
        <v>0</v>
      </c>
      <c r="C66" s="200"/>
      <c r="D66" s="187">
        <f t="shared" si="4"/>
        <v>0</v>
      </c>
      <c r="E66" s="202"/>
      <c r="F66" s="259"/>
      <c r="G66" s="219"/>
      <c r="H66" s="199"/>
      <c r="I66" s="200"/>
      <c r="J66" s="197"/>
      <c r="K66" s="179"/>
      <c r="L66" s="5"/>
      <c r="M66" s="5"/>
      <c r="N66" s="5"/>
      <c r="O66" s="203">
        <f>IF(O65+1&lt;=MIN('Données projet'!$E$9:$E$18),O65+1,"STOP")</f>
        <v>33</v>
      </c>
      <c r="P66" s="193">
        <f t="shared" si="5"/>
        <v>0</v>
      </c>
      <c r="Q66" s="262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25">
      <c r="A67" s="188">
        <f>'Données projet'!A75</f>
        <v>80</v>
      </c>
      <c r="B67" s="189">
        <f>'Données projet'!D75</f>
        <v>234</v>
      </c>
      <c r="C67" s="200">
        <v>80</v>
      </c>
      <c r="D67" s="187">
        <f t="shared" si="4"/>
        <v>18720</v>
      </c>
      <c r="E67" s="202"/>
      <c r="F67" s="259"/>
      <c r="G67" s="219"/>
      <c r="H67" s="199"/>
      <c r="I67" s="200"/>
      <c r="J67" s="197"/>
      <c r="K67" s="179"/>
      <c r="L67" s="5"/>
      <c r="M67" s="5"/>
      <c r="N67" s="5"/>
      <c r="O67" s="203">
        <f>IF(O66+1&lt;=MIN('Données projet'!$E$9:$E$18),O66+1,"STOP")</f>
        <v>34</v>
      </c>
      <c r="P67" s="193">
        <f t="shared" si="5"/>
        <v>0</v>
      </c>
      <c r="Q67" s="262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25">
      <c r="A68" s="188">
        <f>'Données projet'!A76</f>
        <v>0</v>
      </c>
      <c r="B68" s="189">
        <f>'Données projet'!D76</f>
        <v>0</v>
      </c>
      <c r="C68" s="200"/>
      <c r="D68" s="187">
        <f t="shared" si="4"/>
        <v>0</v>
      </c>
      <c r="E68" s="202"/>
      <c r="F68" s="259"/>
      <c r="G68" s="219"/>
      <c r="H68" s="199"/>
      <c r="I68" s="200"/>
      <c r="J68" s="197"/>
      <c r="K68" s="179"/>
      <c r="L68" s="5"/>
      <c r="M68" s="5"/>
      <c r="N68" s="5"/>
      <c r="O68" s="203">
        <f>IF(O67+1&lt;=MIN('Données projet'!$E$9:$E$18),O67+1,"STOP")</f>
        <v>35</v>
      </c>
      <c r="P68" s="193">
        <f t="shared" si="5"/>
        <v>0</v>
      </c>
      <c r="Q68" s="262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25">
      <c r="A69" s="188">
        <f>'Données projet'!A77</f>
        <v>0</v>
      </c>
      <c r="B69" s="189">
        <f>'Données projet'!D77</f>
        <v>0</v>
      </c>
      <c r="C69" s="200"/>
      <c r="D69" s="187">
        <f t="shared" si="4"/>
        <v>0</v>
      </c>
      <c r="E69" s="202"/>
      <c r="F69" s="259"/>
      <c r="G69" s="219"/>
      <c r="H69" s="199"/>
      <c r="I69" s="200"/>
      <c r="J69" s="197"/>
      <c r="K69" s="179"/>
      <c r="L69" s="5"/>
      <c r="M69" s="5"/>
      <c r="N69" s="5"/>
      <c r="O69" s="203">
        <f>IF(O68+1&lt;=MIN('Données projet'!$E$9:$E$18),O68+1,"STOP")</f>
        <v>36</v>
      </c>
      <c r="P69" s="193">
        <f t="shared" si="5"/>
        <v>0</v>
      </c>
      <c r="Q69" s="262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25">
      <c r="A70" s="188">
        <f>'Données projet'!A78</f>
        <v>0</v>
      </c>
      <c r="B70" s="189">
        <f>'Données projet'!D78</f>
        <v>0</v>
      </c>
      <c r="C70" s="200"/>
      <c r="D70" s="187">
        <f t="shared" si="4"/>
        <v>0</v>
      </c>
      <c r="E70" s="202"/>
      <c r="F70" s="259"/>
      <c r="G70" s="219"/>
      <c r="H70" s="199"/>
      <c r="I70" s="200"/>
      <c r="J70" s="197"/>
      <c r="K70" s="179"/>
      <c r="L70" s="5"/>
      <c r="M70" s="5"/>
      <c r="N70" s="5"/>
      <c r="O70" s="203">
        <f>IF(O69+1&lt;=MIN('Données projet'!$E$9:$E$18),O69+1,"STOP")</f>
        <v>37</v>
      </c>
      <c r="P70" s="193">
        <f t="shared" si="5"/>
        <v>0</v>
      </c>
      <c r="Q70" s="262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25">
      <c r="A71" s="188">
        <f>'Données projet'!A79</f>
        <v>0</v>
      </c>
      <c r="B71" s="189">
        <f>'Données projet'!D79</f>
        <v>0</v>
      </c>
      <c r="C71" s="200"/>
      <c r="D71" s="187">
        <f t="shared" si="4"/>
        <v>0</v>
      </c>
      <c r="E71" s="202"/>
      <c r="F71" s="259"/>
      <c r="G71" s="219"/>
      <c r="H71" s="199"/>
      <c r="I71" s="200"/>
      <c r="J71" s="197"/>
      <c r="K71" s="179"/>
      <c r="L71" s="5"/>
      <c r="M71" s="5"/>
      <c r="N71" s="5"/>
      <c r="O71" s="203">
        <f>IF(O70+1&lt;=MIN('Données projet'!$E$9:$E$18),O70+1,"STOP")</f>
        <v>38</v>
      </c>
      <c r="P71" s="193">
        <f t="shared" si="5"/>
        <v>0</v>
      </c>
      <c r="Q71" s="262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25">
      <c r="A72" s="188">
        <f>'Données projet'!A80</f>
        <v>0</v>
      </c>
      <c r="B72" s="189">
        <f>'Données projet'!D80</f>
        <v>0</v>
      </c>
      <c r="C72" s="200"/>
      <c r="D72" s="187">
        <f t="shared" si="4"/>
        <v>0</v>
      </c>
      <c r="E72" s="202"/>
      <c r="F72" s="259"/>
      <c r="G72" s="219"/>
      <c r="H72" s="199"/>
      <c r="I72" s="200"/>
      <c r="J72" s="5"/>
      <c r="K72" s="179"/>
      <c r="L72" s="5"/>
      <c r="M72" s="5"/>
      <c r="N72" s="5"/>
      <c r="O72" s="203">
        <f>IF(O71+1&lt;=MIN('Données projet'!$E$9:$E$18),O71+1,"STOP")</f>
        <v>39</v>
      </c>
      <c r="P72" s="193">
        <f t="shared" si="5"/>
        <v>0</v>
      </c>
      <c r="Q72" s="262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25">
      <c r="A73" s="188">
        <f>'Données projet'!A81</f>
        <v>0</v>
      </c>
      <c r="B73" s="189">
        <f>'Données projet'!D81</f>
        <v>0</v>
      </c>
      <c r="C73" s="200"/>
      <c r="D73" s="187">
        <f t="shared" si="4"/>
        <v>0</v>
      </c>
      <c r="E73" s="202"/>
      <c r="F73" s="259"/>
      <c r="G73" s="219"/>
      <c r="H73" s="199"/>
      <c r="I73" s="200"/>
      <c r="J73" s="5"/>
      <c r="K73" s="179"/>
      <c r="L73" s="5"/>
      <c r="M73" s="5"/>
      <c r="N73" s="5"/>
      <c r="O73" s="203">
        <f>IF(O72+1&lt;=MIN('Données projet'!$E$9:$E$18),O72+1,"STOP")</f>
        <v>40</v>
      </c>
      <c r="P73" s="193">
        <f t="shared" si="5"/>
        <v>0</v>
      </c>
      <c r="Q73" s="262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25">
      <c r="A74" s="5"/>
      <c r="B74" s="5"/>
      <c r="C74" s="5"/>
      <c r="D74" s="5"/>
      <c r="E74" s="5"/>
      <c r="F74" s="257"/>
      <c r="G74" s="219"/>
      <c r="H74" s="199"/>
      <c r="I74" s="200"/>
      <c r="J74" s="5"/>
      <c r="K74" s="179"/>
      <c r="L74" s="5"/>
      <c r="M74" s="5"/>
      <c r="N74" s="5"/>
      <c r="O74" s="203">
        <f>IF(O73+1&lt;=MIN('Données projet'!$E$9:$E$18),O73+1,"STOP")</f>
        <v>41</v>
      </c>
      <c r="P74" s="193">
        <f t="shared" si="5"/>
        <v>0</v>
      </c>
      <c r="Q74" s="262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25">
      <c r="A75" s="5"/>
      <c r="B75" s="5"/>
      <c r="C75" s="5"/>
      <c r="D75" s="5"/>
      <c r="E75" s="5"/>
      <c r="F75" s="257"/>
      <c r="G75" s="219"/>
      <c r="H75" s="199"/>
      <c r="I75" s="200"/>
      <c r="J75" s="5"/>
      <c r="K75" s="179"/>
      <c r="L75" s="5"/>
      <c r="M75" s="5"/>
      <c r="N75" s="5"/>
      <c r="O75" s="203">
        <f>IF(O74+1&lt;=MIN('Données projet'!$E$9:$E$18),O74+1,"STOP")</f>
        <v>42</v>
      </c>
      <c r="P75" s="193">
        <f t="shared" si="5"/>
        <v>0</v>
      </c>
      <c r="Q75" s="262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25">
      <c r="A76" s="49" t="s">
        <v>167</v>
      </c>
      <c r="B76" s="182" t="str">
        <f>IF('Données projet'!B11="","",'Données projet'!B11)</f>
        <v>Chêne sessile</v>
      </c>
      <c r="C76" s="5"/>
      <c r="D76" s="5"/>
      <c r="E76" s="5"/>
      <c r="F76" s="257"/>
      <c r="G76" s="219"/>
      <c r="H76" s="199"/>
      <c r="I76" s="200"/>
      <c r="J76" s="5"/>
      <c r="K76" s="179"/>
      <c r="L76" s="5"/>
      <c r="M76" s="5"/>
      <c r="N76" s="5"/>
      <c r="O76" s="203">
        <f>IF(O75+1&lt;=MIN('Données projet'!$E$9:$E$18),O75+1,"STOP")</f>
        <v>43</v>
      </c>
      <c r="P76" s="193">
        <f t="shared" si="5"/>
        <v>0</v>
      </c>
      <c r="Q76" s="262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25">
      <c r="A77" s="5"/>
      <c r="B77" s="5"/>
      <c r="C77" s="5"/>
      <c r="D77" s="5"/>
      <c r="E77" s="5"/>
      <c r="F77" s="257"/>
      <c r="G77" s="219"/>
      <c r="H77" s="199"/>
      <c r="I77" s="200"/>
      <c r="J77" s="5"/>
      <c r="K77" s="179"/>
      <c r="L77" s="5"/>
      <c r="M77" s="5"/>
      <c r="N77" s="5"/>
      <c r="O77" s="203">
        <f>IF(O76+1&lt;=MIN('Données projet'!$E$9:$E$18),O76+1,"STOP")</f>
        <v>44</v>
      </c>
      <c r="P77" s="193">
        <f t="shared" si="5"/>
        <v>0</v>
      </c>
      <c r="Q77" s="262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25">
      <c r="A78" s="253" t="s">
        <v>180</v>
      </c>
      <c r="B78" s="51" t="s">
        <v>256</v>
      </c>
      <c r="C78" s="51" t="s">
        <v>255</v>
      </c>
      <c r="D78" s="253" t="s">
        <v>252</v>
      </c>
      <c r="E78" s="253" t="s">
        <v>320</v>
      </c>
      <c r="F78" s="258"/>
      <c r="G78" s="219"/>
      <c r="H78" s="199"/>
      <c r="I78" s="200"/>
      <c r="J78" s="5"/>
      <c r="K78" s="179"/>
      <c r="L78" s="5"/>
      <c r="M78" s="5"/>
      <c r="N78" s="5"/>
      <c r="O78" s="203">
        <f>IF(O77+1&lt;=MIN('Données projet'!$E$9:$E$18),O77+1,"STOP")</f>
        <v>45</v>
      </c>
      <c r="P78" s="193">
        <f t="shared" si="5"/>
        <v>0</v>
      </c>
      <c r="Q78" s="262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25">
      <c r="A79" s="206">
        <v>0</v>
      </c>
      <c r="B79" s="209" t="s">
        <v>132</v>
      </c>
      <c r="C79" s="208" t="s">
        <v>132</v>
      </c>
      <c r="D79" s="207" t="s">
        <v>132</v>
      </c>
      <c r="E79" s="202"/>
      <c r="F79" s="258"/>
      <c r="G79" s="219"/>
      <c r="H79" s="199"/>
      <c r="I79" s="200"/>
      <c r="J79" s="5"/>
      <c r="K79" s="179"/>
      <c r="L79" s="5"/>
      <c r="M79" s="5"/>
      <c r="N79" s="5"/>
      <c r="O79" s="203">
        <f>IF(O78+1&lt;=MIN('Données projet'!$E$9:$E$18),O78+1,"STOP")</f>
        <v>46</v>
      </c>
      <c r="P79" s="193">
        <f t="shared" si="5"/>
        <v>0</v>
      </c>
      <c r="Q79" s="262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25">
      <c r="A80" s="206">
        <v>1</v>
      </c>
      <c r="B80" s="209" t="s">
        <v>132</v>
      </c>
      <c r="C80" s="208" t="s">
        <v>132</v>
      </c>
      <c r="D80" s="207" t="s">
        <v>132</v>
      </c>
      <c r="E80" s="202"/>
      <c r="F80" s="258"/>
      <c r="G80" s="217"/>
      <c r="H80" s="199"/>
      <c r="I80" s="200"/>
      <c r="J80" s="5"/>
      <c r="K80" s="179"/>
      <c r="L80" s="5"/>
      <c r="M80" s="5"/>
      <c r="N80" s="5"/>
      <c r="O80" s="203">
        <f>IF(O79+1&lt;=MIN('Données projet'!$E$9:$E$18),O79+1,"STOP")</f>
        <v>47</v>
      </c>
      <c r="P80" s="193">
        <f t="shared" si="5"/>
        <v>0</v>
      </c>
      <c r="Q80" s="262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25">
      <c r="A81" s="206">
        <v>2</v>
      </c>
      <c r="B81" s="209" t="s">
        <v>132</v>
      </c>
      <c r="C81" s="208" t="s">
        <v>132</v>
      </c>
      <c r="D81" s="207" t="s">
        <v>132</v>
      </c>
      <c r="E81" s="202"/>
      <c r="F81" s="258"/>
      <c r="G81" s="217"/>
      <c r="H81" s="199"/>
      <c r="I81" s="200"/>
      <c r="J81" s="5"/>
      <c r="K81" s="179"/>
      <c r="L81" s="5"/>
      <c r="M81" s="5"/>
      <c r="N81" s="5"/>
      <c r="O81" s="203">
        <f>IF(O80+1&lt;=MIN('Données projet'!$E$9:$E$18),O80+1,"STOP")</f>
        <v>48</v>
      </c>
      <c r="P81" s="193">
        <f t="shared" si="5"/>
        <v>0</v>
      </c>
      <c r="Q81" s="262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25">
      <c r="A82" s="206">
        <v>3</v>
      </c>
      <c r="B82" s="209" t="s">
        <v>132</v>
      </c>
      <c r="C82" s="208" t="s">
        <v>132</v>
      </c>
      <c r="D82" s="207" t="s">
        <v>132</v>
      </c>
      <c r="E82" s="202"/>
      <c r="F82" s="258"/>
      <c r="G82" s="217"/>
      <c r="H82" s="199"/>
      <c r="I82" s="200"/>
      <c r="J82" s="5"/>
      <c r="K82" s="179"/>
      <c r="L82" s="5"/>
      <c r="M82" s="5"/>
      <c r="N82" s="5"/>
      <c r="O82" s="203">
        <f>IF(O81+1&lt;=MIN('Données projet'!$E$9:$E$18),O81+1,"STOP")</f>
        <v>49</v>
      </c>
      <c r="P82" s="193">
        <f t="shared" si="5"/>
        <v>0</v>
      </c>
      <c r="Q82" s="262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25">
      <c r="A83" s="206">
        <v>4</v>
      </c>
      <c r="B83" s="209" t="s">
        <v>132</v>
      </c>
      <c r="C83" s="208" t="s">
        <v>132</v>
      </c>
      <c r="D83" s="207" t="s">
        <v>132</v>
      </c>
      <c r="E83" s="202"/>
      <c r="F83" s="258"/>
      <c r="G83" s="217"/>
      <c r="H83" s="199"/>
      <c r="I83" s="200"/>
      <c r="J83" s="5"/>
      <c r="K83" s="179"/>
      <c r="L83" s="5"/>
      <c r="M83" s="5"/>
      <c r="N83" s="5"/>
      <c r="O83" s="203">
        <f>IF(O82+1&lt;=MIN('Données projet'!$E$9:$E$18),O82+1,"STOP")</f>
        <v>50</v>
      </c>
      <c r="P83" s="193">
        <f t="shared" si="5"/>
        <v>0</v>
      </c>
      <c r="Q83" s="262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25">
      <c r="A84" s="206">
        <v>5</v>
      </c>
      <c r="B84" s="209" t="s">
        <v>132</v>
      </c>
      <c r="C84" s="208" t="s">
        <v>132</v>
      </c>
      <c r="D84" s="207" t="s">
        <v>132</v>
      </c>
      <c r="E84" s="202"/>
      <c r="F84" s="258"/>
      <c r="G84" s="218"/>
      <c r="H84" s="199"/>
      <c r="I84" s="200"/>
      <c r="J84" s="5"/>
      <c r="K84" s="179"/>
      <c r="L84" s="5"/>
      <c r="M84" s="5"/>
      <c r="N84" s="5"/>
      <c r="O84" s="203">
        <f>IF(O83+1&lt;=MIN('Données projet'!$E$9:$E$18),O83+1,"STOP")</f>
        <v>51</v>
      </c>
      <c r="P84" s="193">
        <f t="shared" si="5"/>
        <v>0</v>
      </c>
      <c r="Q84" s="262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25">
      <c r="A85" s="188">
        <f>'Données projet'!A88</f>
        <v>20</v>
      </c>
      <c r="B85" s="189">
        <f>'Données projet'!D88</f>
        <v>0</v>
      </c>
      <c r="C85" s="200"/>
      <c r="D85" s="187">
        <f>B85*C85</f>
        <v>0</v>
      </c>
      <c r="E85" s="202"/>
      <c r="F85" s="259"/>
      <c r="G85" s="218"/>
      <c r="H85" s="199"/>
      <c r="I85" s="200"/>
      <c r="J85" s="5"/>
      <c r="K85" s="179"/>
      <c r="L85" s="5"/>
      <c r="M85" s="5"/>
      <c r="N85" s="5"/>
      <c r="O85" s="203">
        <f>IF(O84+1&lt;=MIN('Données projet'!$E$9:$E$18),O84+1,"STOP")</f>
        <v>52</v>
      </c>
      <c r="P85" s="193">
        <f t="shared" si="5"/>
        <v>0</v>
      </c>
      <c r="Q85" s="262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25">
      <c r="A86" s="188">
        <f>'Données projet'!A89</f>
        <v>25</v>
      </c>
      <c r="B86" s="189">
        <f>'Données projet'!D89</f>
        <v>34</v>
      </c>
      <c r="C86" s="200">
        <v>10</v>
      </c>
      <c r="D86" s="187">
        <f t="shared" ref="D86:D104" si="6">B86*C86</f>
        <v>340</v>
      </c>
      <c r="E86" s="202"/>
      <c r="F86" s="259"/>
      <c r="G86" s="218"/>
      <c r="H86" s="199"/>
      <c r="I86" s="200"/>
      <c r="J86" s="5"/>
      <c r="K86" s="179"/>
      <c r="L86" s="5"/>
      <c r="M86" s="5"/>
      <c r="N86" s="5"/>
      <c r="O86" s="203">
        <f>IF(O85+1&lt;=MIN('Données projet'!$E$9:$E$18),O85+1,"STOP")</f>
        <v>53</v>
      </c>
      <c r="P86" s="193">
        <f t="shared" si="5"/>
        <v>0</v>
      </c>
      <c r="Q86" s="262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25">
      <c r="A87" s="188">
        <f>'Données projet'!A90</f>
        <v>30</v>
      </c>
      <c r="B87" s="189">
        <f>'Données projet'!D90</f>
        <v>0</v>
      </c>
      <c r="C87" s="200"/>
      <c r="D87" s="187">
        <f t="shared" si="6"/>
        <v>0</v>
      </c>
      <c r="E87" s="202"/>
      <c r="F87" s="259"/>
      <c r="G87" s="218"/>
      <c r="H87" s="199"/>
      <c r="I87" s="200"/>
      <c r="J87" s="5"/>
      <c r="K87" s="179"/>
      <c r="L87" s="5"/>
      <c r="M87" s="5"/>
      <c r="N87" s="5"/>
      <c r="O87" s="203">
        <f>IF(O86+1&lt;=MIN('Données projet'!$E$9:$E$18),O86+1,"STOP")</f>
        <v>54</v>
      </c>
      <c r="P87" s="193">
        <f t="shared" si="5"/>
        <v>0</v>
      </c>
      <c r="Q87" s="262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25">
      <c r="A88" s="188">
        <f>'Données projet'!A91</f>
        <v>35</v>
      </c>
      <c r="B88" s="189">
        <f>'Données projet'!D91</f>
        <v>56</v>
      </c>
      <c r="C88" s="200">
        <v>10</v>
      </c>
      <c r="D88" s="187">
        <f t="shared" si="6"/>
        <v>560</v>
      </c>
      <c r="E88" s="202"/>
      <c r="F88" s="259"/>
      <c r="G88" s="218"/>
      <c r="H88" s="199"/>
      <c r="I88" s="200"/>
      <c r="J88" s="5"/>
      <c r="K88" s="179"/>
      <c r="L88" s="5"/>
      <c r="M88" s="5"/>
      <c r="N88" s="5"/>
      <c r="O88" s="203">
        <f>IF(O87+1&lt;=MIN('Données projet'!$E$9:$E$18),O87+1,"STOP")</f>
        <v>55</v>
      </c>
      <c r="P88" s="193">
        <f t="shared" si="5"/>
        <v>0</v>
      </c>
      <c r="Q88" s="262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25">
      <c r="A89" s="188">
        <f>'Données projet'!A92</f>
        <v>40</v>
      </c>
      <c r="B89" s="189">
        <f>'Données projet'!D92</f>
        <v>0</v>
      </c>
      <c r="C89" s="200"/>
      <c r="D89" s="187">
        <f t="shared" si="6"/>
        <v>0</v>
      </c>
      <c r="E89" s="202"/>
      <c r="F89" s="259"/>
      <c r="G89" s="218"/>
      <c r="H89" s="199"/>
      <c r="I89" s="200"/>
      <c r="J89" s="5"/>
      <c r="K89" s="179"/>
      <c r="L89" s="5"/>
      <c r="M89" s="5"/>
      <c r="N89" s="5"/>
      <c r="O89" s="203">
        <f>IF(O88+1&lt;=MIN('Données projet'!$E$9:$E$18),O88+1,"STOP")</f>
        <v>56</v>
      </c>
      <c r="P89" s="193">
        <f t="shared" si="5"/>
        <v>0</v>
      </c>
      <c r="Q89" s="262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25">
      <c r="A90" s="188">
        <f>'Données projet'!A93</f>
        <v>45</v>
      </c>
      <c r="B90" s="189">
        <f>'Données projet'!D93</f>
        <v>56</v>
      </c>
      <c r="C90" s="200">
        <v>15</v>
      </c>
      <c r="D90" s="187">
        <f t="shared" si="6"/>
        <v>840</v>
      </c>
      <c r="E90" s="202"/>
      <c r="F90" s="259"/>
      <c r="G90" s="218"/>
      <c r="H90" s="199"/>
      <c r="I90" s="200"/>
      <c r="J90" s="5"/>
      <c r="K90" s="179"/>
      <c r="L90" s="5"/>
      <c r="M90" s="5"/>
      <c r="N90" s="5"/>
      <c r="O90" s="203">
        <f>IF(O89+1&lt;=MIN('Données projet'!$E$9:$E$18),O89+1,"STOP")</f>
        <v>57</v>
      </c>
      <c r="P90" s="193">
        <f t="shared" si="5"/>
        <v>0</v>
      </c>
      <c r="Q90" s="262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25">
      <c r="A91" s="188">
        <f>'Données projet'!A94</f>
        <v>50</v>
      </c>
      <c r="B91" s="189">
        <f>'Données projet'!D94</f>
        <v>0</v>
      </c>
      <c r="C91" s="200"/>
      <c r="D91" s="187">
        <f t="shared" si="6"/>
        <v>0</v>
      </c>
      <c r="E91" s="202"/>
      <c r="F91" s="259"/>
      <c r="G91" s="219"/>
      <c r="H91" s="199"/>
      <c r="I91" s="200"/>
      <c r="J91" s="5"/>
      <c r="K91" s="179"/>
      <c r="L91" s="5"/>
      <c r="M91" s="5"/>
      <c r="N91" s="5"/>
      <c r="O91" s="203">
        <f>IF(O90+1&lt;=MIN('Données projet'!$E$9:$E$18),O90+1,"STOP")</f>
        <v>58</v>
      </c>
      <c r="P91" s="193">
        <f t="shared" si="5"/>
        <v>0</v>
      </c>
      <c r="Q91" s="262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25">
      <c r="A92" s="188">
        <f>'Données projet'!A95</f>
        <v>55</v>
      </c>
      <c r="B92" s="189">
        <f>'Données projet'!D95</f>
        <v>56</v>
      </c>
      <c r="C92" s="200">
        <v>20</v>
      </c>
      <c r="D92" s="187">
        <f t="shared" si="6"/>
        <v>1120</v>
      </c>
      <c r="E92" s="202"/>
      <c r="F92" s="259"/>
      <c r="G92" s="219"/>
      <c r="H92" s="199"/>
      <c r="I92" s="200"/>
      <c r="J92" s="5"/>
      <c r="K92" s="179"/>
      <c r="L92" s="5"/>
      <c r="M92" s="5"/>
      <c r="N92" s="5"/>
      <c r="O92" s="203">
        <f>IF(O91+1&lt;=MIN('Données projet'!$E$9:$E$18),O91+1,"STOP")</f>
        <v>59</v>
      </c>
      <c r="P92" s="193">
        <f t="shared" si="5"/>
        <v>0</v>
      </c>
      <c r="Q92" s="262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25">
      <c r="A93" s="188">
        <f>'Données projet'!A96</f>
        <v>60</v>
      </c>
      <c r="B93" s="189">
        <f>'Données projet'!D96</f>
        <v>0</v>
      </c>
      <c r="C93" s="200"/>
      <c r="D93" s="187">
        <f t="shared" si="6"/>
        <v>0</v>
      </c>
      <c r="E93" s="202"/>
      <c r="F93" s="259"/>
      <c r="G93" s="219"/>
      <c r="H93" s="199"/>
      <c r="I93" s="200"/>
      <c r="J93" s="5"/>
      <c r="K93" s="179"/>
      <c r="L93" s="5"/>
      <c r="M93" s="5"/>
      <c r="N93" s="5"/>
      <c r="O93" s="203">
        <f>IF(O92+1&lt;=MIN('Données projet'!$E$9:$E$18),O92+1,"STOP")</f>
        <v>60</v>
      </c>
      <c r="P93" s="193">
        <f t="shared" si="5"/>
        <v>0</v>
      </c>
      <c r="Q93" s="262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25">
      <c r="A94" s="188">
        <f>'Données projet'!A97</f>
        <v>65</v>
      </c>
      <c r="B94" s="189">
        <f>'Données projet'!D97</f>
        <v>56</v>
      </c>
      <c r="C94" s="200">
        <v>30</v>
      </c>
      <c r="D94" s="187">
        <f t="shared" si="6"/>
        <v>1680</v>
      </c>
      <c r="E94" s="202"/>
      <c r="F94" s="259"/>
      <c r="G94" s="219"/>
      <c r="H94" s="199"/>
      <c r="I94" s="200"/>
      <c r="J94" s="5"/>
      <c r="K94" s="179"/>
      <c r="L94" s="5"/>
      <c r="M94" s="5"/>
      <c r="N94" s="5"/>
      <c r="O94" s="203">
        <f>IF(O93+1&lt;=MIN('Données projet'!$E$9:$E$18),O93+1,"STOP")</f>
        <v>61</v>
      </c>
      <c r="P94" s="193">
        <f t="shared" si="5"/>
        <v>0</v>
      </c>
      <c r="Q94" s="262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25">
      <c r="A95" s="188">
        <f>'Données projet'!A98</f>
        <v>70</v>
      </c>
      <c r="B95" s="189">
        <f>'Données projet'!D98</f>
        <v>0</v>
      </c>
      <c r="C95" s="200"/>
      <c r="D95" s="187">
        <f t="shared" si="6"/>
        <v>0</v>
      </c>
      <c r="E95" s="202"/>
      <c r="F95" s="259"/>
      <c r="G95" s="219"/>
      <c r="H95" s="199"/>
      <c r="I95" s="200"/>
      <c r="J95" s="5"/>
      <c r="K95" s="179"/>
      <c r="L95" s="5"/>
      <c r="M95" s="5"/>
      <c r="N95" s="5"/>
      <c r="O95" s="203">
        <f>IF(O94+1&lt;=MIN('Données projet'!$E$9:$E$18),O94+1,"STOP")</f>
        <v>62</v>
      </c>
      <c r="P95" s="193">
        <f t="shared" si="5"/>
        <v>0</v>
      </c>
      <c r="Q95" s="262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25">
      <c r="A96" s="188">
        <f>'Données projet'!A99</f>
        <v>75</v>
      </c>
      <c r="B96" s="189">
        <f>'Données projet'!D99</f>
        <v>56</v>
      </c>
      <c r="C96" s="200">
        <v>40</v>
      </c>
      <c r="D96" s="187">
        <f t="shared" si="6"/>
        <v>2240</v>
      </c>
      <c r="E96" s="202"/>
      <c r="F96" s="259"/>
      <c r="G96" s="219"/>
      <c r="H96" s="199"/>
      <c r="I96" s="200"/>
      <c r="J96" s="5"/>
      <c r="K96" s="179"/>
      <c r="L96" s="5"/>
      <c r="M96" s="5"/>
      <c r="N96" s="5"/>
      <c r="O96" s="203">
        <f>IF(O95+1&lt;=MIN('Données projet'!$E$9:$E$18),O95+1,"STOP")</f>
        <v>63</v>
      </c>
      <c r="P96" s="193">
        <f t="shared" si="5"/>
        <v>0</v>
      </c>
      <c r="Q96" s="262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25">
      <c r="A97" s="188">
        <f>'Données projet'!A100</f>
        <v>80</v>
      </c>
      <c r="B97" s="189">
        <f>'Données projet'!D100</f>
        <v>0</v>
      </c>
      <c r="C97" s="200"/>
      <c r="D97" s="187">
        <f t="shared" si="6"/>
        <v>0</v>
      </c>
      <c r="E97" s="202"/>
      <c r="F97" s="259"/>
      <c r="G97" s="219"/>
      <c r="H97" s="199"/>
      <c r="I97" s="200"/>
      <c r="J97" s="5"/>
      <c r="K97" s="179"/>
      <c r="L97" s="5"/>
      <c r="M97" s="5"/>
      <c r="N97" s="5"/>
      <c r="O97" s="203">
        <f>IF(O96+1&lt;=MIN('Données projet'!$E$9:$E$18),O96+1,"STOP")</f>
        <v>64</v>
      </c>
      <c r="P97" s="193">
        <f t="shared" ref="P97:P128" si="7">$P$25/(1+$M$4)^O97</f>
        <v>0</v>
      </c>
      <c r="Q97" s="262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25">
      <c r="A98" s="188">
        <f>'Données projet'!A101</f>
        <v>90</v>
      </c>
      <c r="B98" s="189">
        <f>'Données projet'!D101</f>
        <v>84</v>
      </c>
      <c r="C98" s="200">
        <v>50</v>
      </c>
      <c r="D98" s="187">
        <f t="shared" si="6"/>
        <v>4200</v>
      </c>
      <c r="E98" s="202"/>
      <c r="F98" s="259"/>
      <c r="G98" s="219"/>
      <c r="H98" s="199"/>
      <c r="I98" s="200"/>
      <c r="J98" s="5"/>
      <c r="K98" s="179"/>
      <c r="L98" s="5"/>
      <c r="M98" s="5"/>
      <c r="N98" s="5"/>
      <c r="O98" s="203">
        <f>IF(O97+1&lt;=MIN('Données projet'!$E$9:$E$18),O97+1,"STOP")</f>
        <v>65</v>
      </c>
      <c r="P98" s="193">
        <f t="shared" si="7"/>
        <v>0</v>
      </c>
      <c r="Q98" s="262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25">
      <c r="A99" s="188">
        <f>'Données projet'!A102</f>
        <v>100</v>
      </c>
      <c r="B99" s="189">
        <f>'Données projet'!D102</f>
        <v>0</v>
      </c>
      <c r="C99" s="200"/>
      <c r="D99" s="187">
        <f t="shared" si="6"/>
        <v>0</v>
      </c>
      <c r="E99" s="202"/>
      <c r="F99" s="259"/>
      <c r="G99" s="219"/>
      <c r="H99" s="199"/>
      <c r="I99" s="200"/>
      <c r="J99" s="5"/>
      <c r="K99" s="179"/>
      <c r="L99" s="5"/>
      <c r="M99" s="5"/>
      <c r="N99" s="5"/>
      <c r="O99" s="203">
        <f>IF(O98+1&lt;=MIN('Données projet'!$E$9:$E$18),O98+1,"STOP")</f>
        <v>66</v>
      </c>
      <c r="P99" s="193">
        <f t="shared" si="7"/>
        <v>0</v>
      </c>
      <c r="Q99" s="262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25">
      <c r="A100" s="188">
        <f>'Données projet'!A103</f>
        <v>110</v>
      </c>
      <c r="B100" s="189">
        <f>'Données projet'!D103</f>
        <v>106</v>
      </c>
      <c r="C100" s="200">
        <v>60</v>
      </c>
      <c r="D100" s="187">
        <f t="shared" si="6"/>
        <v>6360</v>
      </c>
      <c r="E100" s="202"/>
      <c r="F100" s="259"/>
      <c r="G100" s="219"/>
      <c r="H100" s="199"/>
      <c r="I100" s="200"/>
      <c r="J100" s="5"/>
      <c r="K100" s="179"/>
      <c r="L100" s="5"/>
      <c r="M100" s="5"/>
      <c r="N100" s="5"/>
      <c r="O100" s="203">
        <f>IF(O99+1&lt;=MIN('Données projet'!$E$9:$E$18),O99+1,"STOP")</f>
        <v>67</v>
      </c>
      <c r="P100" s="193">
        <f t="shared" si="7"/>
        <v>0</v>
      </c>
      <c r="Q100" s="262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25">
      <c r="A101" s="188">
        <f>'Données projet'!A104</f>
        <v>120</v>
      </c>
      <c r="B101" s="189">
        <f>'Données projet'!D104</f>
        <v>0</v>
      </c>
      <c r="C101" s="200"/>
      <c r="D101" s="187">
        <f t="shared" si="6"/>
        <v>0</v>
      </c>
      <c r="E101" s="202"/>
      <c r="F101" s="259"/>
      <c r="G101" s="219"/>
      <c r="H101" s="199"/>
      <c r="I101" s="200"/>
      <c r="J101" s="5"/>
      <c r="K101" s="179"/>
      <c r="L101" s="5"/>
      <c r="M101" s="5"/>
      <c r="N101" s="5"/>
      <c r="O101" s="203">
        <f>IF(O100+1&lt;=MIN('Données projet'!$E$9:$E$18),O100+1,"STOP")</f>
        <v>68</v>
      </c>
      <c r="P101" s="193">
        <f t="shared" si="7"/>
        <v>0</v>
      </c>
      <c r="Q101" s="262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25">
      <c r="A102" s="188">
        <f>'Données projet'!A105</f>
        <v>130</v>
      </c>
      <c r="B102" s="189">
        <f>'Données projet'!D105</f>
        <v>91</v>
      </c>
      <c r="C102" s="200">
        <v>100</v>
      </c>
      <c r="D102" s="187">
        <f t="shared" si="6"/>
        <v>9100</v>
      </c>
      <c r="E102" s="202"/>
      <c r="F102" s="259"/>
      <c r="G102" s="219"/>
      <c r="H102" s="199"/>
      <c r="I102" s="200"/>
      <c r="J102" s="5"/>
      <c r="K102" s="179"/>
      <c r="L102" s="5"/>
      <c r="M102" s="5"/>
      <c r="N102" s="5"/>
      <c r="O102" s="203">
        <f>IF(O101+1&lt;=MIN('Données projet'!$E$9:$E$18),O101+1,"STOP")</f>
        <v>69</v>
      </c>
      <c r="P102" s="193">
        <f t="shared" si="7"/>
        <v>0</v>
      </c>
      <c r="Q102" s="262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25">
      <c r="A103" s="188">
        <f>'Données projet'!A106</f>
        <v>140</v>
      </c>
      <c r="B103" s="189">
        <f>'Données projet'!D106</f>
        <v>0</v>
      </c>
      <c r="C103" s="200"/>
      <c r="D103" s="187">
        <f t="shared" si="6"/>
        <v>0</v>
      </c>
      <c r="E103" s="202"/>
      <c r="F103" s="259"/>
      <c r="G103" s="219"/>
      <c r="H103" s="199"/>
      <c r="I103" s="200"/>
      <c r="J103" s="5"/>
      <c r="K103" s="179"/>
      <c r="L103" s="5"/>
      <c r="M103" s="5"/>
      <c r="N103" s="5"/>
      <c r="O103" s="203" t="str">
        <f>IF(O102+1&lt;=MIN('Données projet'!$E$9:$E$18),O102+1,"STOP")</f>
        <v>STOP</v>
      </c>
      <c r="P103" s="193" t="e">
        <f t="shared" si="7"/>
        <v>#VALUE!</v>
      </c>
      <c r="Q103" s="262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25">
      <c r="A104" s="188">
        <f>'Données projet'!A107</f>
        <v>150</v>
      </c>
      <c r="B104" s="189">
        <f>'Données projet'!D107</f>
        <v>376</v>
      </c>
      <c r="C104" s="200">
        <v>200</v>
      </c>
      <c r="D104" s="187">
        <f t="shared" si="6"/>
        <v>75200</v>
      </c>
      <c r="E104" s="202"/>
      <c r="F104" s="259"/>
      <c r="G104" s="219"/>
      <c r="H104" s="199"/>
      <c r="I104" s="200"/>
      <c r="J104" s="5"/>
      <c r="K104" s="179"/>
      <c r="L104" s="5"/>
      <c r="M104" s="5"/>
      <c r="N104" s="5"/>
      <c r="O104" s="203" t="e">
        <f>IF(O103+1&lt;=MIN('Données projet'!$E$9:$E$18),O103+1,"STOP")</f>
        <v>#VALUE!</v>
      </c>
      <c r="P104" s="193" t="e">
        <f t="shared" si="7"/>
        <v>#VALUE!</v>
      </c>
      <c r="Q104" s="262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25">
      <c r="A105" s="5"/>
      <c r="B105" s="5"/>
      <c r="C105" s="5"/>
      <c r="D105" s="5"/>
      <c r="E105" s="5"/>
      <c r="F105" s="257"/>
      <c r="G105" s="219"/>
      <c r="H105" s="199"/>
      <c r="I105" s="200"/>
      <c r="J105" s="5"/>
      <c r="K105" s="179"/>
      <c r="L105" s="5"/>
      <c r="M105" s="5"/>
      <c r="N105" s="5"/>
      <c r="O105" s="203" t="e">
        <f>IF(O104+1&lt;=MIN('Données projet'!$E$9:$E$18),O104+1,"STOP")</f>
        <v>#VALUE!</v>
      </c>
      <c r="P105" s="193" t="e">
        <f t="shared" si="7"/>
        <v>#VALUE!</v>
      </c>
      <c r="Q105" s="262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25">
      <c r="A106" s="5"/>
      <c r="B106" s="5"/>
      <c r="C106" s="5"/>
      <c r="D106" s="5"/>
      <c r="E106" s="5"/>
      <c r="F106" s="257"/>
      <c r="G106" s="219"/>
      <c r="H106" s="199"/>
      <c r="I106" s="200"/>
      <c r="J106" s="5"/>
      <c r="K106" s="179"/>
      <c r="L106" s="5"/>
      <c r="M106" s="5"/>
      <c r="N106" s="5"/>
      <c r="O106" s="203" t="e">
        <f>IF(O105+1&lt;=MIN('Données projet'!$E$9:$E$18),O105+1,"STOP")</f>
        <v>#VALUE!</v>
      </c>
      <c r="P106" s="193" t="e">
        <f t="shared" si="7"/>
        <v>#VALUE!</v>
      </c>
      <c r="Q106" s="262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25">
      <c r="A107" s="49" t="s">
        <v>168</v>
      </c>
      <c r="B107" s="182" t="str">
        <f>IF('Données projet'!B12="","",'Données projet'!B12)</f>
        <v>Chêne pubescent</v>
      </c>
      <c r="C107" s="5"/>
      <c r="D107" s="5"/>
      <c r="E107" s="5"/>
      <c r="F107" s="257"/>
      <c r="G107" s="219"/>
      <c r="H107" s="199"/>
      <c r="I107" s="200"/>
      <c r="J107" s="5"/>
      <c r="K107" s="179"/>
      <c r="L107" s="5"/>
      <c r="M107" s="5"/>
      <c r="N107" s="5"/>
      <c r="O107" s="203" t="e">
        <f>IF(O106+1&lt;=MIN('Données projet'!$E$9:$E$18),O106+1,"STOP")</f>
        <v>#VALUE!</v>
      </c>
      <c r="P107" s="193" t="e">
        <f t="shared" si="7"/>
        <v>#VALUE!</v>
      </c>
      <c r="Q107" s="262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25">
      <c r="A108" s="5"/>
      <c r="B108" s="5"/>
      <c r="C108" s="5"/>
      <c r="D108" s="5"/>
      <c r="E108" s="5"/>
      <c r="F108" s="257"/>
      <c r="G108" s="219"/>
      <c r="H108" s="199"/>
      <c r="I108" s="200"/>
      <c r="J108" s="5"/>
      <c r="K108" s="179"/>
      <c r="L108" s="5"/>
      <c r="M108" s="5"/>
      <c r="N108" s="5"/>
      <c r="O108" s="203" t="e">
        <f>IF(O107+1&lt;=MIN('Données projet'!$E$9:$E$18),O107+1,"STOP")</f>
        <v>#VALUE!</v>
      </c>
      <c r="P108" s="193" t="e">
        <f t="shared" si="7"/>
        <v>#VALUE!</v>
      </c>
      <c r="Q108" s="262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25">
      <c r="A109" s="253" t="s">
        <v>180</v>
      </c>
      <c r="B109" s="51" t="s">
        <v>256</v>
      </c>
      <c r="C109" s="51" t="s">
        <v>255</v>
      </c>
      <c r="D109" s="253" t="s">
        <v>252</v>
      </c>
      <c r="E109" s="253" t="s">
        <v>320</v>
      </c>
      <c r="F109" s="258"/>
      <c r="G109" s="219"/>
      <c r="H109" s="199"/>
      <c r="I109" s="200"/>
      <c r="J109" s="5"/>
      <c r="K109" s="179"/>
      <c r="L109" s="5"/>
      <c r="M109" s="5"/>
      <c r="N109" s="5"/>
      <c r="O109" s="203" t="e">
        <f>IF(O108+1&lt;=MIN('Données projet'!$E$9:$E$18),O108+1,"STOP")</f>
        <v>#VALUE!</v>
      </c>
      <c r="P109" s="193" t="e">
        <f t="shared" si="7"/>
        <v>#VALUE!</v>
      </c>
      <c r="Q109" s="262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25">
      <c r="A110" s="206">
        <v>0</v>
      </c>
      <c r="B110" s="209" t="s">
        <v>132</v>
      </c>
      <c r="C110" s="208" t="s">
        <v>132</v>
      </c>
      <c r="D110" s="207" t="s">
        <v>132</v>
      </c>
      <c r="E110" s="202"/>
      <c r="F110" s="258"/>
      <c r="G110" s="219"/>
      <c r="H110" s="199"/>
      <c r="I110" s="200"/>
      <c r="J110" s="5"/>
      <c r="K110" s="179"/>
      <c r="L110" s="5"/>
      <c r="M110" s="5"/>
      <c r="N110" s="5"/>
      <c r="O110" s="203" t="e">
        <f>IF(O109+1&lt;=MIN('Données projet'!$E$9:$E$18),O109+1,"STOP")</f>
        <v>#VALUE!</v>
      </c>
      <c r="P110" s="193" t="e">
        <f t="shared" si="7"/>
        <v>#VALUE!</v>
      </c>
      <c r="Q110" s="262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25">
      <c r="A111" s="206">
        <v>1</v>
      </c>
      <c r="B111" s="209" t="s">
        <v>132</v>
      </c>
      <c r="C111" s="208" t="s">
        <v>132</v>
      </c>
      <c r="D111" s="207" t="s">
        <v>132</v>
      </c>
      <c r="E111" s="202"/>
      <c r="F111" s="258"/>
      <c r="G111" s="217"/>
      <c r="H111" s="199"/>
      <c r="I111" s="200"/>
      <c r="J111" s="5"/>
      <c r="K111" s="179"/>
      <c r="L111" s="5"/>
      <c r="M111" s="5"/>
      <c r="N111" s="5"/>
      <c r="O111" s="203" t="e">
        <f>IF(O110+1&lt;=MIN('Données projet'!$E$9:$E$18),O110+1,"STOP")</f>
        <v>#VALUE!</v>
      </c>
      <c r="P111" s="193" t="e">
        <f t="shared" si="7"/>
        <v>#VALUE!</v>
      </c>
      <c r="Q111" s="262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25">
      <c r="A112" s="206">
        <v>2</v>
      </c>
      <c r="B112" s="209" t="s">
        <v>132</v>
      </c>
      <c r="C112" s="208" t="s">
        <v>132</v>
      </c>
      <c r="D112" s="207" t="s">
        <v>132</v>
      </c>
      <c r="E112" s="202"/>
      <c r="F112" s="258"/>
      <c r="G112" s="217"/>
      <c r="H112" s="199"/>
      <c r="I112" s="200"/>
      <c r="J112" s="5"/>
      <c r="K112" s="179"/>
      <c r="L112" s="5"/>
      <c r="M112" s="5"/>
      <c r="N112" s="5"/>
      <c r="O112" s="203" t="e">
        <f>IF(O111+1&lt;=MIN('Données projet'!$E$9:$E$18),O111+1,"STOP")</f>
        <v>#VALUE!</v>
      </c>
      <c r="P112" s="193" t="e">
        <f t="shared" si="7"/>
        <v>#VALUE!</v>
      </c>
      <c r="Q112" s="262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25">
      <c r="A113" s="206">
        <v>3</v>
      </c>
      <c r="B113" s="209" t="s">
        <v>132</v>
      </c>
      <c r="C113" s="208" t="s">
        <v>132</v>
      </c>
      <c r="D113" s="207" t="s">
        <v>132</v>
      </c>
      <c r="E113" s="202"/>
      <c r="F113" s="258"/>
      <c r="G113" s="217"/>
      <c r="H113" s="199"/>
      <c r="I113" s="200"/>
      <c r="J113" s="5"/>
      <c r="K113" s="179"/>
      <c r="L113" s="5"/>
      <c r="M113" s="5"/>
      <c r="N113" s="5"/>
      <c r="O113" s="203" t="e">
        <f>IF(O112+1&lt;=MIN('Données projet'!$E$9:$E$18),O112+1,"STOP")</f>
        <v>#VALUE!</v>
      </c>
      <c r="P113" s="193" t="e">
        <f t="shared" si="7"/>
        <v>#VALUE!</v>
      </c>
      <c r="Q113" s="262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25">
      <c r="A114" s="206">
        <v>4</v>
      </c>
      <c r="B114" s="209" t="s">
        <v>132</v>
      </c>
      <c r="C114" s="208" t="s">
        <v>132</v>
      </c>
      <c r="D114" s="207" t="s">
        <v>132</v>
      </c>
      <c r="E114" s="202"/>
      <c r="F114" s="258"/>
      <c r="G114" s="217"/>
      <c r="H114" s="199"/>
      <c r="I114" s="200"/>
      <c r="J114" s="5"/>
      <c r="K114" s="179"/>
      <c r="L114" s="5"/>
      <c r="M114" s="5"/>
      <c r="N114" s="5"/>
      <c r="O114" s="203" t="e">
        <f>IF(O113+1&lt;=MIN('Données projet'!$E$9:$E$18),O113+1,"STOP")</f>
        <v>#VALUE!</v>
      </c>
      <c r="P114" s="193" t="e">
        <f t="shared" si="7"/>
        <v>#VALUE!</v>
      </c>
      <c r="Q114" s="262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25">
      <c r="A115" s="206">
        <v>5</v>
      </c>
      <c r="B115" s="209" t="s">
        <v>132</v>
      </c>
      <c r="C115" s="208" t="s">
        <v>132</v>
      </c>
      <c r="D115" s="207" t="s">
        <v>132</v>
      </c>
      <c r="E115" s="202"/>
      <c r="F115" s="258"/>
      <c r="G115" s="218"/>
      <c r="H115" s="199"/>
      <c r="I115" s="200"/>
      <c r="J115" s="5"/>
      <c r="K115" s="179"/>
      <c r="L115" s="5"/>
      <c r="M115" s="5"/>
      <c r="N115" s="5"/>
      <c r="O115" s="203" t="e">
        <f>IF(O114+1&lt;=MIN('Données projet'!$E$9:$E$18),O114+1,"STOP")</f>
        <v>#VALUE!</v>
      </c>
      <c r="P115" s="193" t="e">
        <f t="shared" si="7"/>
        <v>#VALUE!</v>
      </c>
      <c r="Q115" s="262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25">
      <c r="A116" s="188">
        <f>'Données projet'!A114</f>
        <v>20</v>
      </c>
      <c r="B116" s="189">
        <f>'Données projet'!D114</f>
        <v>0</v>
      </c>
      <c r="C116" s="200"/>
      <c r="D116" s="187">
        <f>B116*C116</f>
        <v>0</v>
      </c>
      <c r="E116" s="202"/>
      <c r="F116" s="259"/>
      <c r="G116" s="218"/>
      <c r="H116" s="199"/>
      <c r="I116" s="200"/>
      <c r="J116" s="5"/>
      <c r="K116" s="179"/>
      <c r="L116" s="5"/>
      <c r="M116" s="5"/>
      <c r="N116" s="5"/>
      <c r="O116" s="203" t="e">
        <f>IF(O115+1&lt;=MIN('Données projet'!$E$9:$E$18),O115+1,"STOP")</f>
        <v>#VALUE!</v>
      </c>
      <c r="P116" s="193" t="e">
        <f t="shared" si="7"/>
        <v>#VALUE!</v>
      </c>
      <c r="Q116" s="262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25">
      <c r="A117" s="188">
        <f>'Données projet'!A115</f>
        <v>25</v>
      </c>
      <c r="B117" s="189">
        <f>'Données projet'!D115</f>
        <v>34</v>
      </c>
      <c r="C117" s="200">
        <v>10</v>
      </c>
      <c r="D117" s="187">
        <f t="shared" ref="D117:D135" si="8">B117*C117</f>
        <v>340</v>
      </c>
      <c r="E117" s="202"/>
      <c r="F117" s="259"/>
      <c r="G117" s="218"/>
      <c r="H117" s="199"/>
      <c r="I117" s="200"/>
      <c r="J117" s="5"/>
      <c r="K117" s="179"/>
      <c r="L117" s="5"/>
      <c r="M117" s="5"/>
      <c r="N117" s="5"/>
      <c r="O117" s="203" t="e">
        <f>IF(O116+1&lt;=MIN('Données projet'!$E$9:$E$18),O116+1,"STOP")</f>
        <v>#VALUE!</v>
      </c>
      <c r="P117" s="193" t="e">
        <f t="shared" si="7"/>
        <v>#VALUE!</v>
      </c>
      <c r="Q117" s="262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25">
      <c r="A118" s="188">
        <f>'Données projet'!A116</f>
        <v>30</v>
      </c>
      <c r="B118" s="189">
        <f>'Données projet'!D116</f>
        <v>0</v>
      </c>
      <c r="C118" s="200"/>
      <c r="D118" s="187">
        <f t="shared" si="8"/>
        <v>0</v>
      </c>
      <c r="E118" s="202"/>
      <c r="F118" s="259"/>
      <c r="G118" s="218"/>
      <c r="H118" s="199"/>
      <c r="I118" s="200"/>
      <c r="J118" s="5"/>
      <c r="K118" s="179"/>
      <c r="L118" s="5"/>
      <c r="M118" s="5"/>
      <c r="N118" s="5"/>
      <c r="O118" s="203" t="e">
        <f>IF(O117+1&lt;=MIN('Données projet'!$E$9:$E$18),O117+1,"STOP")</f>
        <v>#VALUE!</v>
      </c>
      <c r="P118" s="193" t="e">
        <f t="shared" si="7"/>
        <v>#VALUE!</v>
      </c>
      <c r="Q118" s="262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25">
      <c r="A119" s="188">
        <f>'Données projet'!A117</f>
        <v>35</v>
      </c>
      <c r="B119" s="189">
        <f>'Données projet'!D117</f>
        <v>56</v>
      </c>
      <c r="C119" s="200">
        <v>10</v>
      </c>
      <c r="D119" s="187">
        <f t="shared" si="8"/>
        <v>560</v>
      </c>
      <c r="E119" s="202"/>
      <c r="F119" s="259"/>
      <c r="G119" s="218"/>
      <c r="H119" s="199"/>
      <c r="I119" s="200"/>
      <c r="J119" s="5"/>
      <c r="K119" s="179"/>
      <c r="L119" s="5"/>
      <c r="M119" s="5"/>
      <c r="N119" s="5"/>
      <c r="O119" s="203" t="e">
        <f>IF(O118+1&lt;=MIN('Données projet'!$E$9:$E$18),O118+1,"STOP")</f>
        <v>#VALUE!</v>
      </c>
      <c r="P119" s="193" t="e">
        <f t="shared" si="7"/>
        <v>#VALUE!</v>
      </c>
      <c r="Q119" s="262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25">
      <c r="A120" s="188">
        <f>'Données projet'!A118</f>
        <v>40</v>
      </c>
      <c r="B120" s="189">
        <f>'Données projet'!D118</f>
        <v>0</v>
      </c>
      <c r="C120" s="200"/>
      <c r="D120" s="187">
        <f t="shared" si="8"/>
        <v>0</v>
      </c>
      <c r="E120" s="202"/>
      <c r="F120" s="259"/>
      <c r="G120" s="218"/>
      <c r="H120" s="199"/>
      <c r="I120" s="200"/>
      <c r="J120" s="5"/>
      <c r="K120" s="179"/>
      <c r="L120" s="5"/>
      <c r="M120" s="5"/>
      <c r="N120" s="5"/>
      <c r="O120" s="203" t="e">
        <f>IF(O119+1&lt;=MIN('Données projet'!$E$9:$E$18),O119+1,"STOP")</f>
        <v>#VALUE!</v>
      </c>
      <c r="P120" s="193" t="e">
        <f t="shared" si="7"/>
        <v>#VALUE!</v>
      </c>
      <c r="Q120" s="262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25">
      <c r="A121" s="188">
        <f>'Données projet'!A119</f>
        <v>45</v>
      </c>
      <c r="B121" s="189">
        <f>'Données projet'!D119</f>
        <v>56</v>
      </c>
      <c r="C121" s="200">
        <v>15</v>
      </c>
      <c r="D121" s="187">
        <f t="shared" si="8"/>
        <v>840</v>
      </c>
      <c r="E121" s="202"/>
      <c r="F121" s="259"/>
      <c r="G121" s="218"/>
      <c r="H121" s="199"/>
      <c r="I121" s="200"/>
      <c r="J121" s="5"/>
      <c r="K121" s="179"/>
      <c r="L121" s="5"/>
      <c r="M121" s="5"/>
      <c r="N121" s="5"/>
      <c r="O121" s="203" t="e">
        <f>IF(O120+1&lt;=MIN('Données projet'!$E$9:$E$18),O120+1,"STOP")</f>
        <v>#VALUE!</v>
      </c>
      <c r="P121" s="193" t="e">
        <f t="shared" si="7"/>
        <v>#VALUE!</v>
      </c>
      <c r="Q121" s="262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25">
      <c r="A122" s="188">
        <f>'Données projet'!A120</f>
        <v>50</v>
      </c>
      <c r="B122" s="189">
        <f>'Données projet'!D120</f>
        <v>0</v>
      </c>
      <c r="C122" s="200"/>
      <c r="D122" s="187">
        <f t="shared" si="8"/>
        <v>0</v>
      </c>
      <c r="E122" s="202"/>
      <c r="F122" s="259"/>
      <c r="G122" s="219"/>
      <c r="H122" s="199"/>
      <c r="I122" s="200"/>
      <c r="J122" s="5"/>
      <c r="K122" s="179"/>
      <c r="L122" s="5"/>
      <c r="M122" s="5"/>
      <c r="N122" s="5"/>
      <c r="O122" s="203" t="e">
        <f>IF(O121+1&lt;=MIN('Données projet'!$E$9:$E$18),O121+1,"STOP")</f>
        <v>#VALUE!</v>
      </c>
      <c r="P122" s="193" t="e">
        <f t="shared" si="7"/>
        <v>#VALUE!</v>
      </c>
      <c r="Q122" s="262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25">
      <c r="A123" s="188">
        <f>'Données projet'!A121</f>
        <v>55</v>
      </c>
      <c r="B123" s="189">
        <f>'Données projet'!D121</f>
        <v>56</v>
      </c>
      <c r="C123" s="200">
        <v>20</v>
      </c>
      <c r="D123" s="187">
        <f t="shared" si="8"/>
        <v>1120</v>
      </c>
      <c r="E123" s="202"/>
      <c r="F123" s="259"/>
      <c r="G123" s="219"/>
      <c r="H123" s="199"/>
      <c r="I123" s="200"/>
      <c r="J123" s="5"/>
      <c r="K123" s="179"/>
      <c r="L123" s="5"/>
      <c r="M123" s="5"/>
      <c r="N123" s="5"/>
      <c r="O123" s="203" t="e">
        <f>IF(O122+1&lt;=MIN('Données projet'!$E$9:$E$18),O122+1,"STOP")</f>
        <v>#VALUE!</v>
      </c>
      <c r="P123" s="193" t="e">
        <f t="shared" si="7"/>
        <v>#VALUE!</v>
      </c>
      <c r="Q123" s="262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25">
      <c r="A124" s="188">
        <f>'Données projet'!A122</f>
        <v>60</v>
      </c>
      <c r="B124" s="189">
        <f>'Données projet'!D122</f>
        <v>0</v>
      </c>
      <c r="C124" s="200"/>
      <c r="D124" s="187">
        <f t="shared" si="8"/>
        <v>0</v>
      </c>
      <c r="E124" s="202"/>
      <c r="F124" s="259"/>
      <c r="G124" s="219"/>
      <c r="H124" s="199"/>
      <c r="I124" s="200"/>
      <c r="J124" s="5"/>
      <c r="K124" s="179"/>
      <c r="L124" s="5"/>
      <c r="M124" s="5"/>
      <c r="N124" s="5"/>
      <c r="O124" s="203" t="e">
        <f>IF(O123+1&lt;=MIN('Données projet'!$E$9:$E$18),O123+1,"STOP")</f>
        <v>#VALUE!</v>
      </c>
      <c r="P124" s="193" t="e">
        <f t="shared" si="7"/>
        <v>#VALUE!</v>
      </c>
      <c r="Q124" s="262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25">
      <c r="A125" s="188">
        <f>'Données projet'!A123</f>
        <v>65</v>
      </c>
      <c r="B125" s="189">
        <f>'Données projet'!D123</f>
        <v>56</v>
      </c>
      <c r="C125" s="200">
        <v>30</v>
      </c>
      <c r="D125" s="187">
        <f t="shared" si="8"/>
        <v>1680</v>
      </c>
      <c r="E125" s="202"/>
      <c r="F125" s="259"/>
      <c r="G125" s="219"/>
      <c r="H125" s="199"/>
      <c r="I125" s="200"/>
      <c r="J125" s="5"/>
      <c r="K125" s="179"/>
      <c r="L125" s="5"/>
      <c r="M125" s="5"/>
      <c r="N125" s="5"/>
      <c r="O125" s="203" t="e">
        <f>IF(O124+1&lt;=MIN('Données projet'!$E$9:$E$18),O124+1,"STOP")</f>
        <v>#VALUE!</v>
      </c>
      <c r="P125" s="193" t="e">
        <f t="shared" si="7"/>
        <v>#VALUE!</v>
      </c>
      <c r="Q125" s="262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25">
      <c r="A126" s="188">
        <f>'Données projet'!A124</f>
        <v>70</v>
      </c>
      <c r="B126" s="189">
        <f>'Données projet'!D124</f>
        <v>0</v>
      </c>
      <c r="C126" s="200"/>
      <c r="D126" s="187">
        <f t="shared" si="8"/>
        <v>0</v>
      </c>
      <c r="E126" s="202"/>
      <c r="F126" s="259"/>
      <c r="G126" s="219"/>
      <c r="H126" s="199"/>
      <c r="I126" s="200"/>
      <c r="J126" s="5"/>
      <c r="K126" s="179"/>
      <c r="L126" s="5"/>
      <c r="M126" s="5"/>
      <c r="N126" s="5"/>
      <c r="O126" s="203" t="e">
        <f>IF(O125+1&lt;=MIN('Données projet'!$E$9:$E$18),O125+1,"STOP")</f>
        <v>#VALUE!</v>
      </c>
      <c r="P126" s="193" t="e">
        <f t="shared" si="7"/>
        <v>#VALUE!</v>
      </c>
      <c r="Q126" s="262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25">
      <c r="A127" s="188">
        <f>'Données projet'!A125</f>
        <v>75</v>
      </c>
      <c r="B127" s="189">
        <f>'Données projet'!D125</f>
        <v>56</v>
      </c>
      <c r="C127" s="200">
        <v>40</v>
      </c>
      <c r="D127" s="187">
        <f t="shared" si="8"/>
        <v>2240</v>
      </c>
      <c r="E127" s="202"/>
      <c r="F127" s="259"/>
      <c r="G127" s="219"/>
      <c r="H127" s="199"/>
      <c r="I127" s="200"/>
      <c r="J127" s="5"/>
      <c r="K127" s="179"/>
      <c r="L127" s="5"/>
      <c r="M127" s="5"/>
      <c r="N127" s="5"/>
      <c r="O127" s="203" t="e">
        <f>IF(O126+1&lt;=MIN('Données projet'!$E$9:$E$18),O126+1,"STOP")</f>
        <v>#VALUE!</v>
      </c>
      <c r="P127" s="193" t="e">
        <f t="shared" si="7"/>
        <v>#VALUE!</v>
      </c>
      <c r="Q127" s="262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25">
      <c r="A128" s="188">
        <f>'Données projet'!A126</f>
        <v>80</v>
      </c>
      <c r="B128" s="189">
        <f>'Données projet'!D126</f>
        <v>0</v>
      </c>
      <c r="C128" s="200"/>
      <c r="D128" s="187">
        <f t="shared" si="8"/>
        <v>0</v>
      </c>
      <c r="E128" s="202"/>
      <c r="F128" s="259"/>
      <c r="G128" s="219"/>
      <c r="H128" s="199"/>
      <c r="I128" s="200"/>
      <c r="J128" s="5"/>
      <c r="K128" s="179"/>
      <c r="L128" s="5"/>
      <c r="M128" s="5"/>
      <c r="N128" s="5"/>
      <c r="O128" s="203" t="e">
        <f>IF(O127+1&lt;=MIN('Données projet'!$E$9:$E$18),O127+1,"STOP")</f>
        <v>#VALUE!</v>
      </c>
      <c r="P128" s="193" t="e">
        <f t="shared" si="7"/>
        <v>#VALUE!</v>
      </c>
      <c r="Q128" s="262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25">
      <c r="A129" s="188">
        <f>'Données projet'!A127</f>
        <v>90</v>
      </c>
      <c r="B129" s="189">
        <f>'Données projet'!D127</f>
        <v>84</v>
      </c>
      <c r="C129" s="200">
        <v>50</v>
      </c>
      <c r="D129" s="187">
        <f t="shared" si="8"/>
        <v>4200</v>
      </c>
      <c r="E129" s="202"/>
      <c r="F129" s="259"/>
      <c r="G129" s="219"/>
      <c r="H129" s="199"/>
      <c r="I129" s="200"/>
      <c r="J129" s="5"/>
      <c r="K129" s="179"/>
      <c r="L129" s="5"/>
      <c r="M129" s="5"/>
      <c r="N129" s="5"/>
      <c r="O129" s="203" t="e">
        <f>IF(O128+1&lt;=MIN('Données projet'!$E$9:$E$18),O128+1,"STOP")</f>
        <v>#VALUE!</v>
      </c>
      <c r="P129" s="193" t="e">
        <f t="shared" ref="P129:P132" si="9">$P$25/(1+$M$4)^O129</f>
        <v>#VALUE!</v>
      </c>
      <c r="Q129" s="262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25">
      <c r="A130" s="188">
        <f>'Données projet'!A128</f>
        <v>100</v>
      </c>
      <c r="B130" s="189">
        <f>'Données projet'!D128</f>
        <v>0</v>
      </c>
      <c r="C130" s="200"/>
      <c r="D130" s="187">
        <f t="shared" si="8"/>
        <v>0</v>
      </c>
      <c r="E130" s="202"/>
      <c r="F130" s="259"/>
      <c r="G130" s="219"/>
      <c r="H130" s="199"/>
      <c r="I130" s="200"/>
      <c r="J130" s="5"/>
      <c r="K130" s="179"/>
      <c r="L130" s="5"/>
      <c r="M130" s="5"/>
      <c r="N130" s="5"/>
      <c r="O130" s="203" t="e">
        <f>IF(O129+1&lt;=MIN('Données projet'!$E$9:$E$18),O129+1,"STOP")</f>
        <v>#VALUE!</v>
      </c>
      <c r="P130" s="193" t="e">
        <f t="shared" si="9"/>
        <v>#VALUE!</v>
      </c>
      <c r="Q130" s="262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25">
      <c r="A131" s="188">
        <f>'Données projet'!A129</f>
        <v>110</v>
      </c>
      <c r="B131" s="189">
        <f>'Données projet'!D129</f>
        <v>106</v>
      </c>
      <c r="C131" s="200">
        <v>60</v>
      </c>
      <c r="D131" s="187">
        <f t="shared" si="8"/>
        <v>6360</v>
      </c>
      <c r="E131" s="202"/>
      <c r="F131" s="259"/>
      <c r="G131" s="219"/>
      <c r="H131" s="199"/>
      <c r="I131" s="200"/>
      <c r="J131" s="5"/>
      <c r="K131" s="179"/>
      <c r="L131" s="5"/>
      <c r="M131" s="5"/>
      <c r="N131" s="5"/>
      <c r="O131" s="203" t="e">
        <f>IF(O130+1&lt;=MIN('Données projet'!$E$9:$E$18),O130+1,"STOP")</f>
        <v>#VALUE!</v>
      </c>
      <c r="P131" s="193" t="e">
        <f t="shared" si="9"/>
        <v>#VALUE!</v>
      </c>
      <c r="Q131" s="262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25">
      <c r="A132" s="188">
        <f>'Données projet'!A130</f>
        <v>120</v>
      </c>
      <c r="B132" s="189">
        <f>'Données projet'!D130</f>
        <v>0</v>
      </c>
      <c r="C132" s="200"/>
      <c r="D132" s="187">
        <f t="shared" si="8"/>
        <v>0</v>
      </c>
      <c r="E132" s="202"/>
      <c r="F132" s="259"/>
      <c r="G132" s="219"/>
      <c r="H132" s="199"/>
      <c r="I132" s="200"/>
      <c r="J132" s="5"/>
      <c r="K132" s="179"/>
      <c r="L132" s="5"/>
      <c r="M132" s="5"/>
      <c r="N132" s="5"/>
      <c r="O132" s="203" t="e">
        <f>IF(O131+1&lt;=MIN('Données projet'!$E$9:$E$18),O131+1,"STOP")</f>
        <v>#VALUE!</v>
      </c>
      <c r="P132" s="193" t="e">
        <f t="shared" si="9"/>
        <v>#VALUE!</v>
      </c>
      <c r="Q132" s="262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25">
      <c r="A133" s="188">
        <f>'Données projet'!A131</f>
        <v>130</v>
      </c>
      <c r="B133" s="189">
        <f>'Données projet'!D131</f>
        <v>91</v>
      </c>
      <c r="C133" s="200">
        <v>100</v>
      </c>
      <c r="D133" s="187">
        <f t="shared" si="8"/>
        <v>9100</v>
      </c>
      <c r="E133" s="202"/>
      <c r="F133" s="259"/>
      <c r="G133" s="219"/>
      <c r="H133" s="199"/>
      <c r="I133" s="200"/>
      <c r="J133" s="5"/>
      <c r="K133" s="179"/>
      <c r="Q133" s="262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25">
      <c r="A134" s="188">
        <f>'Données projet'!A132</f>
        <v>140</v>
      </c>
      <c r="B134" s="189">
        <f>'Données projet'!D132</f>
        <v>0</v>
      </c>
      <c r="C134" s="200"/>
      <c r="D134" s="187">
        <f t="shared" si="8"/>
        <v>0</v>
      </c>
      <c r="E134" s="202"/>
      <c r="F134" s="259"/>
      <c r="G134" s="219"/>
      <c r="H134" s="199"/>
      <c r="I134" s="200"/>
      <c r="J134" s="5"/>
      <c r="K134" s="179"/>
      <c r="Q134" s="262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25">
      <c r="A135" s="188">
        <f>'Données projet'!A133</f>
        <v>150</v>
      </c>
      <c r="B135" s="189">
        <f>'Données projet'!D133</f>
        <v>376</v>
      </c>
      <c r="C135" s="200">
        <v>200</v>
      </c>
      <c r="D135" s="187">
        <f t="shared" si="8"/>
        <v>75200</v>
      </c>
      <c r="E135" s="202"/>
      <c r="F135" s="259"/>
      <c r="G135" s="219"/>
      <c r="H135" s="199"/>
      <c r="I135" s="200"/>
      <c r="J135" s="5"/>
      <c r="K135" s="179"/>
      <c r="Q135" s="262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25">
      <c r="A136" s="5"/>
      <c r="B136" s="5"/>
      <c r="C136" s="5"/>
      <c r="D136" s="5"/>
      <c r="E136" s="5"/>
      <c r="F136" s="257"/>
      <c r="G136" s="219"/>
      <c r="H136" s="199"/>
      <c r="I136" s="200"/>
      <c r="J136" s="5"/>
      <c r="K136" s="179"/>
      <c r="L136" s="5"/>
      <c r="M136" s="5"/>
      <c r="N136" s="5"/>
      <c r="Q136" s="262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25">
      <c r="A137" s="5"/>
      <c r="B137" s="5"/>
      <c r="C137" s="5"/>
      <c r="D137" s="5"/>
      <c r="E137" s="5"/>
      <c r="F137" s="257"/>
      <c r="G137" s="219"/>
      <c r="H137" s="199"/>
      <c r="I137" s="200"/>
      <c r="J137" s="5"/>
      <c r="K137" s="179"/>
      <c r="L137" s="5"/>
      <c r="M137" s="5"/>
      <c r="N137" s="5"/>
      <c r="Q137" s="262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25">
      <c r="A138" s="49" t="s">
        <v>169</v>
      </c>
      <c r="B138" s="182" t="str">
        <f>IF('Données projet'!B13="","",'Données projet'!B13)</f>
        <v>Cormier</v>
      </c>
      <c r="C138" s="5"/>
      <c r="D138" s="5"/>
      <c r="E138" s="5"/>
      <c r="F138" s="257"/>
      <c r="G138" s="219"/>
      <c r="H138" s="199"/>
      <c r="I138" s="200"/>
      <c r="J138" s="5"/>
      <c r="K138" s="179"/>
      <c r="L138" s="5"/>
      <c r="M138" s="5"/>
      <c r="N138" s="5"/>
      <c r="Q138" s="262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25">
      <c r="A139" s="5"/>
      <c r="B139" s="5"/>
      <c r="C139" s="5"/>
      <c r="D139" s="5"/>
      <c r="E139" s="5"/>
      <c r="F139" s="257"/>
      <c r="G139" s="219"/>
      <c r="H139" s="199"/>
      <c r="I139" s="200"/>
      <c r="J139" s="5"/>
      <c r="K139" s="179"/>
      <c r="L139" s="5"/>
      <c r="M139" s="5"/>
      <c r="N139" s="5"/>
      <c r="Q139" s="262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25">
      <c r="A140" s="253" t="s">
        <v>180</v>
      </c>
      <c r="B140" s="51" t="s">
        <v>256</v>
      </c>
      <c r="C140" s="51" t="s">
        <v>255</v>
      </c>
      <c r="D140" s="253" t="s">
        <v>252</v>
      </c>
      <c r="E140" s="253" t="s">
        <v>320</v>
      </c>
      <c r="F140" s="258"/>
      <c r="G140" s="219"/>
      <c r="H140" s="199"/>
      <c r="I140" s="200"/>
      <c r="J140" s="5"/>
      <c r="K140" s="179"/>
      <c r="L140" s="5"/>
      <c r="M140" s="5"/>
      <c r="N140" s="5"/>
      <c r="Q140" s="262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25">
      <c r="A141" s="206">
        <v>0</v>
      </c>
      <c r="B141" s="209" t="s">
        <v>132</v>
      </c>
      <c r="C141" s="208" t="s">
        <v>132</v>
      </c>
      <c r="D141" s="207" t="s">
        <v>132</v>
      </c>
      <c r="E141" s="202"/>
      <c r="F141" s="258"/>
      <c r="G141" s="219"/>
      <c r="H141" s="199"/>
      <c r="I141" s="200"/>
      <c r="J141" s="5"/>
      <c r="K141" s="179"/>
      <c r="L141" s="5"/>
      <c r="M141" s="5"/>
      <c r="N141" s="5"/>
      <c r="Q141" s="262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25">
      <c r="A142" s="206">
        <v>1</v>
      </c>
      <c r="B142" s="209" t="s">
        <v>132</v>
      </c>
      <c r="C142" s="208" t="s">
        <v>132</v>
      </c>
      <c r="D142" s="207" t="s">
        <v>132</v>
      </c>
      <c r="E142" s="202"/>
      <c r="F142" s="258"/>
      <c r="G142" s="217"/>
      <c r="H142" s="199"/>
      <c r="I142" s="200"/>
      <c r="J142" s="5"/>
      <c r="K142" s="179"/>
      <c r="L142" s="5"/>
      <c r="M142" s="5"/>
      <c r="N142" s="5"/>
      <c r="Q142" s="262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25">
      <c r="A143" s="206">
        <v>2</v>
      </c>
      <c r="B143" s="209" t="s">
        <v>132</v>
      </c>
      <c r="C143" s="208" t="s">
        <v>132</v>
      </c>
      <c r="D143" s="207" t="s">
        <v>132</v>
      </c>
      <c r="E143" s="202"/>
      <c r="F143" s="258"/>
      <c r="G143" s="217"/>
      <c r="H143" s="199"/>
      <c r="I143" s="200"/>
      <c r="J143" s="5"/>
      <c r="K143" s="179"/>
      <c r="L143" s="5"/>
      <c r="M143" s="5"/>
      <c r="N143" s="5"/>
      <c r="Q143" s="262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25">
      <c r="A144" s="206">
        <v>3</v>
      </c>
      <c r="B144" s="209" t="s">
        <v>132</v>
      </c>
      <c r="C144" s="208" t="s">
        <v>132</v>
      </c>
      <c r="D144" s="207" t="s">
        <v>132</v>
      </c>
      <c r="E144" s="202"/>
      <c r="F144" s="258"/>
      <c r="G144" s="217"/>
      <c r="H144" s="199"/>
      <c r="I144" s="200"/>
      <c r="J144" s="5"/>
      <c r="K144" s="179"/>
      <c r="L144" s="5"/>
      <c r="M144" s="5"/>
      <c r="N144" s="5"/>
      <c r="Q144" s="262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25">
      <c r="A145" s="206">
        <v>4</v>
      </c>
      <c r="B145" s="209" t="s">
        <v>132</v>
      </c>
      <c r="C145" s="208" t="s">
        <v>132</v>
      </c>
      <c r="D145" s="207" t="s">
        <v>132</v>
      </c>
      <c r="E145" s="202"/>
      <c r="F145" s="258"/>
      <c r="G145" s="217"/>
      <c r="H145" s="199"/>
      <c r="I145" s="200"/>
      <c r="J145" s="5"/>
      <c r="K145" s="179"/>
      <c r="L145" s="5"/>
      <c r="M145" s="5"/>
      <c r="N145" s="5"/>
      <c r="Q145" s="262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25">
      <c r="A146" s="206">
        <v>5</v>
      </c>
      <c r="B146" s="209" t="s">
        <v>132</v>
      </c>
      <c r="C146" s="208" t="s">
        <v>132</v>
      </c>
      <c r="D146" s="207" t="s">
        <v>132</v>
      </c>
      <c r="E146" s="202"/>
      <c r="F146" s="258"/>
      <c r="G146" s="218"/>
      <c r="H146" s="199"/>
      <c r="I146" s="200"/>
      <c r="J146" s="5"/>
      <c r="K146" s="179"/>
      <c r="L146" s="5"/>
      <c r="M146" s="5"/>
      <c r="N146" s="5"/>
      <c r="Q146" s="262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25">
      <c r="A147" s="45">
        <f>'Données projet'!A140</f>
        <v>20</v>
      </c>
      <c r="B147" s="183">
        <f>'Données projet'!D140</f>
        <v>0</v>
      </c>
      <c r="C147" s="200"/>
      <c r="D147" s="190">
        <f>B147*C147</f>
        <v>0</v>
      </c>
      <c r="E147" s="202"/>
      <c r="F147" s="260"/>
      <c r="G147" s="218"/>
      <c r="H147" s="199"/>
      <c r="I147" s="200"/>
      <c r="J147" s="5"/>
      <c r="K147" s="179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25">
      <c r="A148" s="45">
        <f>'Données projet'!A141</f>
        <v>25</v>
      </c>
      <c r="B148" s="183">
        <f>'Données projet'!D141</f>
        <v>34</v>
      </c>
      <c r="C148" s="200">
        <v>10</v>
      </c>
      <c r="D148" s="190">
        <f t="shared" ref="D148:D166" si="10">B148*C148</f>
        <v>340</v>
      </c>
      <c r="E148" s="202"/>
      <c r="F148" s="260"/>
      <c r="G148" s="218"/>
      <c r="H148" s="199"/>
      <c r="I148" s="200"/>
      <c r="J148" s="5"/>
      <c r="K148" s="179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25">
      <c r="A149" s="45">
        <f>'Données projet'!A142</f>
        <v>30</v>
      </c>
      <c r="B149" s="183">
        <f>'Données projet'!D142</f>
        <v>0</v>
      </c>
      <c r="C149" s="200"/>
      <c r="D149" s="190">
        <f t="shared" si="10"/>
        <v>0</v>
      </c>
      <c r="E149" s="202"/>
      <c r="F149" s="260"/>
      <c r="G149" s="218"/>
      <c r="H149" s="199"/>
      <c r="I149" s="200"/>
      <c r="J149" s="5"/>
      <c r="K149" s="179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25">
      <c r="A150" s="45">
        <f>'Données projet'!A143</f>
        <v>35</v>
      </c>
      <c r="B150" s="183">
        <f>'Données projet'!D143</f>
        <v>56</v>
      </c>
      <c r="C150" s="200">
        <v>10</v>
      </c>
      <c r="D150" s="190">
        <f t="shared" si="10"/>
        <v>560</v>
      </c>
      <c r="E150" s="202"/>
      <c r="F150" s="260"/>
      <c r="G150" s="218"/>
      <c r="H150" s="199"/>
      <c r="I150" s="200"/>
      <c r="J150" s="5"/>
      <c r="K150" s="179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25">
      <c r="A151" s="45">
        <f>'Données projet'!A144</f>
        <v>40</v>
      </c>
      <c r="B151" s="183">
        <f>'Données projet'!D144</f>
        <v>0</v>
      </c>
      <c r="C151" s="200"/>
      <c r="D151" s="190">
        <f t="shared" si="10"/>
        <v>0</v>
      </c>
      <c r="E151" s="202"/>
      <c r="F151" s="260"/>
      <c r="G151" s="218"/>
      <c r="H151" s="199"/>
      <c r="I151" s="200"/>
      <c r="J151" s="5"/>
      <c r="K151" s="179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25">
      <c r="A152" s="45">
        <f>'Données projet'!A145</f>
        <v>45</v>
      </c>
      <c r="B152" s="183">
        <f>'Données projet'!D145</f>
        <v>56</v>
      </c>
      <c r="C152" s="200">
        <v>15</v>
      </c>
      <c r="D152" s="190">
        <f t="shared" si="10"/>
        <v>840</v>
      </c>
      <c r="E152" s="202"/>
      <c r="F152" s="260"/>
      <c r="G152" s="218"/>
      <c r="H152" s="199"/>
      <c r="I152" s="200"/>
      <c r="J152" s="5"/>
      <c r="K152" s="179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25">
      <c r="A153" s="45">
        <f>'Données projet'!A146</f>
        <v>50</v>
      </c>
      <c r="B153" s="183">
        <f>'Données projet'!D146</f>
        <v>0</v>
      </c>
      <c r="C153" s="200"/>
      <c r="D153" s="190">
        <f t="shared" si="10"/>
        <v>0</v>
      </c>
      <c r="E153" s="202"/>
      <c r="F153" s="260"/>
      <c r="G153" s="214"/>
      <c r="H153" s="199"/>
      <c r="I153" s="200"/>
      <c r="J153" s="5"/>
      <c r="K153" s="179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25">
      <c r="A154" s="45">
        <f>'Données projet'!A147</f>
        <v>55</v>
      </c>
      <c r="B154" s="183">
        <f>'Données projet'!D147</f>
        <v>56</v>
      </c>
      <c r="C154" s="200">
        <v>20</v>
      </c>
      <c r="D154" s="190">
        <f t="shared" si="10"/>
        <v>1120</v>
      </c>
      <c r="E154" s="202"/>
      <c r="F154" s="260"/>
      <c r="G154" s="214"/>
      <c r="H154" s="199"/>
      <c r="I154" s="200"/>
      <c r="J154" s="5"/>
      <c r="K154" s="179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25">
      <c r="A155" s="45">
        <f>'Données projet'!A148</f>
        <v>60</v>
      </c>
      <c r="B155" s="183">
        <f>'Données projet'!D148</f>
        <v>0</v>
      </c>
      <c r="C155" s="200"/>
      <c r="D155" s="190">
        <f t="shared" si="10"/>
        <v>0</v>
      </c>
      <c r="E155" s="202"/>
      <c r="F155" s="260"/>
      <c r="G155" s="214"/>
      <c r="H155" s="199"/>
      <c r="I155" s="200"/>
      <c r="J155" s="5"/>
      <c r="K155" s="179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25">
      <c r="A156" s="45">
        <f>'Données projet'!A149</f>
        <v>65</v>
      </c>
      <c r="B156" s="183">
        <f>'Données projet'!D149</f>
        <v>56</v>
      </c>
      <c r="C156" s="200">
        <v>30</v>
      </c>
      <c r="D156" s="190">
        <f t="shared" si="10"/>
        <v>1680</v>
      </c>
      <c r="E156" s="202"/>
      <c r="F156" s="260"/>
      <c r="G156" s="214"/>
      <c r="H156" s="199"/>
      <c r="I156" s="200"/>
      <c r="J156" s="5"/>
      <c r="K156" s="179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25">
      <c r="A157" s="45">
        <f>'Données projet'!A150</f>
        <v>70</v>
      </c>
      <c r="B157" s="183">
        <f>'Données projet'!D150</f>
        <v>0</v>
      </c>
      <c r="C157" s="200"/>
      <c r="D157" s="190">
        <f t="shared" si="10"/>
        <v>0</v>
      </c>
      <c r="E157" s="202"/>
      <c r="F157" s="260"/>
      <c r="G157" s="214"/>
      <c r="H157" s="199"/>
      <c r="I157" s="200"/>
      <c r="J157" s="5"/>
      <c r="K157" s="179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25">
      <c r="A158" s="45">
        <f>'Données projet'!A151</f>
        <v>75</v>
      </c>
      <c r="B158" s="183">
        <f>'Données projet'!D151</f>
        <v>56</v>
      </c>
      <c r="C158" s="200">
        <v>40</v>
      </c>
      <c r="D158" s="190">
        <f t="shared" si="10"/>
        <v>2240</v>
      </c>
      <c r="E158" s="202"/>
      <c r="F158" s="260"/>
      <c r="G158" s="214"/>
      <c r="H158" s="199"/>
      <c r="I158" s="200"/>
      <c r="J158" s="5"/>
      <c r="K158" s="179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25">
      <c r="A159" s="45">
        <f>'Données projet'!A152</f>
        <v>80</v>
      </c>
      <c r="B159" s="183">
        <f>'Données projet'!D152</f>
        <v>0</v>
      </c>
      <c r="C159" s="200"/>
      <c r="D159" s="190">
        <f t="shared" si="10"/>
        <v>0</v>
      </c>
      <c r="E159" s="202"/>
      <c r="F159" s="260"/>
      <c r="G159" s="214"/>
      <c r="H159" s="199"/>
      <c r="I159" s="200"/>
      <c r="J159" s="5"/>
      <c r="K159" s="179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25">
      <c r="A160" s="45">
        <f>'Données projet'!A153</f>
        <v>90</v>
      </c>
      <c r="B160" s="183">
        <f>'Données projet'!D153</f>
        <v>84</v>
      </c>
      <c r="C160" s="200">
        <v>50</v>
      </c>
      <c r="D160" s="190">
        <f t="shared" si="10"/>
        <v>4200</v>
      </c>
      <c r="E160" s="202"/>
      <c r="F160" s="260"/>
      <c r="G160" s="214"/>
      <c r="H160" s="199"/>
      <c r="I160" s="200"/>
      <c r="J160" s="5"/>
      <c r="K160" s="179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25">
      <c r="A161" s="45">
        <f>'Données projet'!A154</f>
        <v>100</v>
      </c>
      <c r="B161" s="183">
        <f>'Données projet'!D154</f>
        <v>0</v>
      </c>
      <c r="C161" s="200"/>
      <c r="D161" s="190">
        <f t="shared" si="10"/>
        <v>0</v>
      </c>
      <c r="E161" s="202"/>
      <c r="F161" s="260"/>
      <c r="G161" s="214"/>
      <c r="H161" s="199"/>
      <c r="I161" s="200"/>
      <c r="J161" s="5"/>
      <c r="K161" s="179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25">
      <c r="A162" s="45">
        <f>'Données projet'!A155</f>
        <v>110</v>
      </c>
      <c r="B162" s="183">
        <f>'Données projet'!D155</f>
        <v>106</v>
      </c>
      <c r="C162" s="200">
        <v>60</v>
      </c>
      <c r="D162" s="190">
        <f t="shared" si="10"/>
        <v>6360</v>
      </c>
      <c r="E162" s="202"/>
      <c r="F162" s="260"/>
      <c r="G162" s="214"/>
      <c r="H162" s="199"/>
      <c r="I162" s="200"/>
      <c r="J162" s="5"/>
      <c r="K162" s="179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25">
      <c r="A163" s="45">
        <f>'Données projet'!A156</f>
        <v>120</v>
      </c>
      <c r="B163" s="183">
        <f>'Données projet'!D156</f>
        <v>0</v>
      </c>
      <c r="C163" s="200"/>
      <c r="D163" s="190">
        <f t="shared" si="10"/>
        <v>0</v>
      </c>
      <c r="E163" s="202"/>
      <c r="F163" s="260"/>
      <c r="G163" s="214"/>
      <c r="H163" s="199"/>
      <c r="I163" s="200"/>
      <c r="J163" s="5"/>
      <c r="K163" s="179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25">
      <c r="A164" s="45">
        <f>'Données projet'!A157</f>
        <v>130</v>
      </c>
      <c r="B164" s="183">
        <f>'Données projet'!D157</f>
        <v>91</v>
      </c>
      <c r="C164" s="200">
        <v>100</v>
      </c>
      <c r="D164" s="190">
        <f t="shared" si="10"/>
        <v>9100</v>
      </c>
      <c r="E164" s="202"/>
      <c r="F164" s="260"/>
      <c r="G164" s="214"/>
      <c r="H164" s="199"/>
      <c r="I164" s="200"/>
      <c r="J164" s="5"/>
      <c r="K164" s="179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25">
      <c r="A165" s="45">
        <f>'Données projet'!A158</f>
        <v>140</v>
      </c>
      <c r="B165" s="183">
        <f>'Données projet'!D158</f>
        <v>0</v>
      </c>
      <c r="C165" s="200"/>
      <c r="D165" s="190">
        <f t="shared" si="10"/>
        <v>0</v>
      </c>
      <c r="E165" s="202"/>
      <c r="F165" s="260"/>
      <c r="G165" s="214"/>
      <c r="H165" s="199"/>
      <c r="I165" s="200"/>
      <c r="J165" s="5"/>
      <c r="K165" s="179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25">
      <c r="A166" s="45">
        <f>'Données projet'!A159</f>
        <v>150</v>
      </c>
      <c r="B166" s="183">
        <f>'Données projet'!D159</f>
        <v>376</v>
      </c>
      <c r="C166" s="200">
        <v>200</v>
      </c>
      <c r="D166" s="190">
        <f t="shared" si="10"/>
        <v>75200</v>
      </c>
      <c r="E166" s="202"/>
      <c r="F166" s="260"/>
      <c r="G166" s="214"/>
      <c r="H166" s="199"/>
      <c r="I166" s="200"/>
      <c r="J166" s="5"/>
      <c r="K166" s="179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25">
      <c r="A167" s="5"/>
      <c r="B167" s="5"/>
      <c r="C167" s="5"/>
      <c r="D167" s="5"/>
      <c r="E167" s="5"/>
      <c r="F167" s="257"/>
      <c r="G167" s="214"/>
      <c r="H167" s="199"/>
      <c r="I167" s="200"/>
      <c r="J167" s="5"/>
      <c r="K167" s="179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25">
      <c r="A168" s="5"/>
      <c r="B168" s="5"/>
      <c r="C168" s="5"/>
      <c r="D168" s="5"/>
      <c r="E168" s="5"/>
      <c r="F168" s="257"/>
      <c r="G168" s="214"/>
      <c r="H168" s="199"/>
      <c r="I168" s="200"/>
      <c r="J168" s="5"/>
      <c r="K168" s="179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25">
      <c r="A169" s="49" t="s">
        <v>170</v>
      </c>
      <c r="B169" s="182" t="str">
        <f>IF('Données projet'!B14="","",'Données projet'!B14)</f>
        <v>Alisier torminal</v>
      </c>
      <c r="C169" s="5"/>
      <c r="D169" s="5"/>
      <c r="E169" s="5"/>
      <c r="F169" s="257"/>
      <c r="G169" s="214"/>
      <c r="H169" s="199"/>
      <c r="I169" s="200"/>
      <c r="J169" s="5"/>
      <c r="K169" s="179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25">
      <c r="A170" s="5"/>
      <c r="B170" s="5"/>
      <c r="C170" s="5"/>
      <c r="D170" s="5"/>
      <c r="E170" s="5"/>
      <c r="F170" s="257"/>
      <c r="G170" s="214"/>
      <c r="H170" s="199"/>
      <c r="I170" s="200"/>
      <c r="J170" s="5"/>
      <c r="K170" s="179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25">
      <c r="A171" s="253" t="s">
        <v>180</v>
      </c>
      <c r="B171" s="51" t="s">
        <v>256</v>
      </c>
      <c r="C171" s="51" t="s">
        <v>255</v>
      </c>
      <c r="D171" s="253" t="s">
        <v>252</v>
      </c>
      <c r="E171" s="253" t="s">
        <v>320</v>
      </c>
      <c r="F171" s="258"/>
      <c r="G171" s="214"/>
      <c r="H171" s="199"/>
      <c r="I171" s="200"/>
      <c r="J171" s="5"/>
      <c r="K171" s="179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25">
      <c r="A172" s="206">
        <v>0</v>
      </c>
      <c r="B172" s="209" t="s">
        <v>132</v>
      </c>
      <c r="C172" s="208" t="s">
        <v>132</v>
      </c>
      <c r="D172" s="207" t="s">
        <v>132</v>
      </c>
      <c r="E172" s="202"/>
      <c r="F172" s="258"/>
      <c r="G172" s="214"/>
      <c r="H172" s="199"/>
      <c r="I172" s="200"/>
      <c r="J172" s="5"/>
      <c r="K172" s="179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25">
      <c r="A173" s="206">
        <v>1</v>
      </c>
      <c r="B173" s="209" t="s">
        <v>132</v>
      </c>
      <c r="C173" s="208" t="s">
        <v>132</v>
      </c>
      <c r="D173" s="207" t="s">
        <v>132</v>
      </c>
      <c r="E173" s="202"/>
      <c r="F173" s="258"/>
      <c r="G173" s="217"/>
      <c r="H173" s="199"/>
      <c r="I173" s="200"/>
      <c r="J173" s="5"/>
      <c r="K173" s="179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25">
      <c r="A174" s="206">
        <v>2</v>
      </c>
      <c r="B174" s="209" t="s">
        <v>132</v>
      </c>
      <c r="C174" s="208" t="s">
        <v>132</v>
      </c>
      <c r="D174" s="207" t="s">
        <v>132</v>
      </c>
      <c r="E174" s="202"/>
      <c r="F174" s="258"/>
      <c r="G174" s="217"/>
      <c r="H174" s="199"/>
      <c r="I174" s="200"/>
      <c r="J174" s="5"/>
      <c r="K174" s="179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25">
      <c r="A175" s="206">
        <v>3</v>
      </c>
      <c r="B175" s="209" t="s">
        <v>132</v>
      </c>
      <c r="C175" s="208" t="s">
        <v>132</v>
      </c>
      <c r="D175" s="207" t="s">
        <v>132</v>
      </c>
      <c r="E175" s="202"/>
      <c r="F175" s="258"/>
      <c r="G175" s="217"/>
      <c r="H175" s="199"/>
      <c r="I175" s="200"/>
      <c r="J175" s="5"/>
      <c r="K175" s="179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25">
      <c r="A176" s="206">
        <v>4</v>
      </c>
      <c r="B176" s="209" t="s">
        <v>132</v>
      </c>
      <c r="C176" s="208" t="s">
        <v>132</v>
      </c>
      <c r="D176" s="207" t="s">
        <v>132</v>
      </c>
      <c r="E176" s="202"/>
      <c r="F176" s="258"/>
      <c r="G176" s="217"/>
      <c r="H176" s="199"/>
      <c r="I176" s="200"/>
      <c r="J176" s="5"/>
      <c r="K176" s="179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25">
      <c r="A177" s="206">
        <v>5</v>
      </c>
      <c r="B177" s="209" t="s">
        <v>132</v>
      </c>
      <c r="C177" s="208" t="s">
        <v>132</v>
      </c>
      <c r="D177" s="207" t="s">
        <v>132</v>
      </c>
      <c r="E177" s="202"/>
      <c r="F177" s="258"/>
      <c r="G177" s="218"/>
      <c r="H177" s="199"/>
      <c r="I177" s="200"/>
      <c r="J177" s="5"/>
      <c r="K177" s="179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25">
      <c r="A178" s="188">
        <f>'Données projet'!A166</f>
        <v>20</v>
      </c>
      <c r="B178" s="189">
        <f>'Données projet'!D166</f>
        <v>0</v>
      </c>
      <c r="C178" s="202"/>
      <c r="D178" s="187">
        <f>B178*C178</f>
        <v>0</v>
      </c>
      <c r="E178" s="202"/>
      <c r="F178" s="259"/>
      <c r="G178" s="218"/>
      <c r="H178" s="199"/>
      <c r="I178" s="200"/>
      <c r="J178" s="5"/>
      <c r="K178" s="179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25">
      <c r="A179" s="188">
        <f>'Données projet'!A167</f>
        <v>25</v>
      </c>
      <c r="B179" s="189">
        <f>'Données projet'!D167</f>
        <v>34</v>
      </c>
      <c r="C179" s="200">
        <v>10</v>
      </c>
      <c r="D179" s="187">
        <f t="shared" ref="D179:D197" si="11">B179*C179</f>
        <v>340</v>
      </c>
      <c r="E179" s="202"/>
      <c r="F179" s="259"/>
      <c r="G179" s="218"/>
      <c r="H179" s="199"/>
      <c r="I179" s="200"/>
      <c r="J179" s="5"/>
      <c r="K179" s="179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25">
      <c r="A180" s="188">
        <f>'Données projet'!A168</f>
        <v>30</v>
      </c>
      <c r="B180" s="189">
        <f>'Données projet'!D168</f>
        <v>0</v>
      </c>
      <c r="C180" s="200"/>
      <c r="D180" s="187">
        <f t="shared" si="11"/>
        <v>0</v>
      </c>
      <c r="E180" s="202"/>
      <c r="F180" s="259"/>
      <c r="G180" s="218"/>
      <c r="H180" s="199"/>
      <c r="I180" s="200"/>
      <c r="J180" s="5"/>
      <c r="K180" s="179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25">
      <c r="A181" s="188">
        <f>'Données projet'!A169</f>
        <v>35</v>
      </c>
      <c r="B181" s="189">
        <f>'Données projet'!D169</f>
        <v>56</v>
      </c>
      <c r="C181" s="200">
        <v>10</v>
      </c>
      <c r="D181" s="187">
        <f t="shared" si="11"/>
        <v>560</v>
      </c>
      <c r="E181" s="202"/>
      <c r="F181" s="259"/>
      <c r="G181" s="218"/>
      <c r="H181" s="199"/>
      <c r="I181" s="200"/>
      <c r="J181" s="5"/>
      <c r="K181" s="179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25">
      <c r="A182" s="188">
        <f>'Données projet'!A170</f>
        <v>40</v>
      </c>
      <c r="B182" s="189">
        <f>'Données projet'!D170</f>
        <v>0</v>
      </c>
      <c r="C182" s="200"/>
      <c r="D182" s="187">
        <f t="shared" si="11"/>
        <v>0</v>
      </c>
      <c r="E182" s="202"/>
      <c r="F182" s="259"/>
      <c r="G182" s="218"/>
      <c r="H182" s="199"/>
      <c r="I182" s="200"/>
      <c r="J182" s="5"/>
      <c r="K182" s="179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25">
      <c r="A183" s="188">
        <f>'Données projet'!A171</f>
        <v>45</v>
      </c>
      <c r="B183" s="189">
        <f>'Données projet'!D171</f>
        <v>56</v>
      </c>
      <c r="C183" s="200">
        <v>15</v>
      </c>
      <c r="D183" s="187">
        <f t="shared" si="11"/>
        <v>840</v>
      </c>
      <c r="E183" s="202"/>
      <c r="F183" s="259"/>
      <c r="G183" s="218"/>
      <c r="H183" s="199"/>
      <c r="I183" s="200"/>
      <c r="J183" s="5"/>
      <c r="K183" s="179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25">
      <c r="A184" s="188">
        <f>'Données projet'!A172</f>
        <v>50</v>
      </c>
      <c r="B184" s="189">
        <f>'Données projet'!D172</f>
        <v>0</v>
      </c>
      <c r="C184" s="200"/>
      <c r="D184" s="187">
        <f t="shared" si="11"/>
        <v>0</v>
      </c>
      <c r="E184" s="202"/>
      <c r="F184" s="259"/>
      <c r="G184" s="219"/>
      <c r="H184" s="199"/>
      <c r="I184" s="200"/>
      <c r="J184" s="5"/>
      <c r="K184" s="179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25">
      <c r="A185" s="188">
        <f>'Données projet'!A173</f>
        <v>55</v>
      </c>
      <c r="B185" s="189">
        <f>'Données projet'!D173</f>
        <v>56</v>
      </c>
      <c r="C185" s="200">
        <v>20</v>
      </c>
      <c r="D185" s="187">
        <f t="shared" si="11"/>
        <v>1120</v>
      </c>
      <c r="E185" s="202"/>
      <c r="F185" s="259"/>
      <c r="G185" s="219"/>
      <c r="H185" s="199"/>
      <c r="I185" s="200"/>
      <c r="J185" s="5"/>
      <c r="K185" s="179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25">
      <c r="A186" s="188">
        <f>'Données projet'!A174</f>
        <v>60</v>
      </c>
      <c r="B186" s="189">
        <f>'Données projet'!D174</f>
        <v>0</v>
      </c>
      <c r="C186" s="200"/>
      <c r="D186" s="187">
        <f t="shared" si="11"/>
        <v>0</v>
      </c>
      <c r="E186" s="202"/>
      <c r="F186" s="259"/>
      <c r="G186" s="219"/>
      <c r="H186" s="199"/>
      <c r="I186" s="200"/>
      <c r="J186" s="5"/>
      <c r="K186" s="179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25">
      <c r="A187" s="188">
        <f>'Données projet'!A175</f>
        <v>65</v>
      </c>
      <c r="B187" s="189">
        <f>'Données projet'!D175</f>
        <v>56</v>
      </c>
      <c r="C187" s="200">
        <v>30</v>
      </c>
      <c r="D187" s="187">
        <f t="shared" si="11"/>
        <v>1680</v>
      </c>
      <c r="E187" s="202"/>
      <c r="F187" s="259"/>
      <c r="G187" s="219"/>
      <c r="H187" s="199"/>
      <c r="I187" s="200"/>
      <c r="J187" s="5"/>
      <c r="K187" s="179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25">
      <c r="A188" s="188">
        <f>'Données projet'!A176</f>
        <v>70</v>
      </c>
      <c r="B188" s="189">
        <f>'Données projet'!D176</f>
        <v>0</v>
      </c>
      <c r="C188" s="200"/>
      <c r="D188" s="187">
        <f t="shared" si="11"/>
        <v>0</v>
      </c>
      <c r="E188" s="202"/>
      <c r="F188" s="259"/>
      <c r="G188" s="219"/>
      <c r="H188" s="199"/>
      <c r="I188" s="200"/>
      <c r="J188" s="5"/>
      <c r="K188" s="179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25">
      <c r="A189" s="188">
        <f>'Données projet'!A177</f>
        <v>75</v>
      </c>
      <c r="B189" s="189">
        <f>'Données projet'!D177</f>
        <v>56</v>
      </c>
      <c r="C189" s="200">
        <v>40</v>
      </c>
      <c r="D189" s="187">
        <f t="shared" si="11"/>
        <v>2240</v>
      </c>
      <c r="E189" s="202"/>
      <c r="F189" s="259"/>
      <c r="G189" s="219"/>
      <c r="H189" s="199"/>
      <c r="I189" s="200"/>
      <c r="J189" s="5"/>
      <c r="K189" s="179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25">
      <c r="A190" s="188">
        <f>'Données projet'!A178</f>
        <v>80</v>
      </c>
      <c r="B190" s="189">
        <f>'Données projet'!D178</f>
        <v>0</v>
      </c>
      <c r="C190" s="200"/>
      <c r="D190" s="187">
        <f t="shared" si="11"/>
        <v>0</v>
      </c>
      <c r="E190" s="202"/>
      <c r="F190" s="259"/>
      <c r="G190" s="219"/>
      <c r="H190" s="199"/>
      <c r="I190" s="200"/>
      <c r="J190" s="5"/>
      <c r="K190" s="179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25">
      <c r="A191" s="188">
        <f>'Données projet'!A179</f>
        <v>90</v>
      </c>
      <c r="B191" s="189">
        <f>'Données projet'!D179</f>
        <v>84</v>
      </c>
      <c r="C191" s="200">
        <v>50</v>
      </c>
      <c r="D191" s="187">
        <f t="shared" si="11"/>
        <v>4200</v>
      </c>
      <c r="E191" s="202"/>
      <c r="F191" s="259"/>
      <c r="G191" s="219"/>
      <c r="H191" s="199"/>
      <c r="I191" s="200"/>
      <c r="J191" s="5"/>
      <c r="K191" s="179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25">
      <c r="A192" s="188">
        <f>'Données projet'!A180</f>
        <v>100</v>
      </c>
      <c r="B192" s="189">
        <f>'Données projet'!D180</f>
        <v>0</v>
      </c>
      <c r="C192" s="200"/>
      <c r="D192" s="187">
        <f t="shared" si="11"/>
        <v>0</v>
      </c>
      <c r="E192" s="202"/>
      <c r="F192" s="259"/>
      <c r="G192" s="219"/>
      <c r="H192" s="199"/>
      <c r="I192" s="200"/>
      <c r="J192" s="5"/>
      <c r="K192" s="179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25">
      <c r="A193" s="188">
        <f>'Données projet'!A181</f>
        <v>110</v>
      </c>
      <c r="B193" s="189">
        <f>'Données projet'!D181</f>
        <v>106</v>
      </c>
      <c r="C193" s="200">
        <v>60</v>
      </c>
      <c r="D193" s="187">
        <f t="shared" si="11"/>
        <v>6360</v>
      </c>
      <c r="E193" s="202"/>
      <c r="F193" s="259"/>
      <c r="G193" s="219"/>
      <c r="H193" s="199"/>
      <c r="I193" s="200"/>
      <c r="J193" s="5"/>
      <c r="K193" s="179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25">
      <c r="A194" s="188">
        <f>'Données projet'!A182</f>
        <v>120</v>
      </c>
      <c r="B194" s="189">
        <f>'Données projet'!D182</f>
        <v>0</v>
      </c>
      <c r="C194" s="200"/>
      <c r="D194" s="187">
        <f t="shared" si="11"/>
        <v>0</v>
      </c>
      <c r="E194" s="202"/>
      <c r="F194" s="259"/>
      <c r="G194" s="219"/>
      <c r="H194" s="199"/>
      <c r="I194" s="200"/>
      <c r="J194" s="5"/>
      <c r="K194" s="179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25">
      <c r="A195" s="188">
        <f>'Données projet'!A183</f>
        <v>130</v>
      </c>
      <c r="B195" s="189">
        <f>'Données projet'!D183</f>
        <v>91</v>
      </c>
      <c r="C195" s="200">
        <v>100</v>
      </c>
      <c r="D195" s="187">
        <f t="shared" si="11"/>
        <v>9100</v>
      </c>
      <c r="E195" s="202"/>
      <c r="F195" s="259"/>
      <c r="G195" s="219"/>
      <c r="H195" s="199"/>
      <c r="I195" s="200"/>
      <c r="J195" s="5"/>
      <c r="K195" s="179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25">
      <c r="A196" s="188">
        <f>'Données projet'!A184</f>
        <v>140</v>
      </c>
      <c r="B196" s="189">
        <f>'Données projet'!D184</f>
        <v>0</v>
      </c>
      <c r="C196" s="200"/>
      <c r="D196" s="187">
        <f t="shared" si="11"/>
        <v>0</v>
      </c>
      <c r="E196" s="202"/>
      <c r="F196" s="259"/>
      <c r="G196" s="219"/>
      <c r="H196" s="199"/>
      <c r="I196" s="200"/>
      <c r="J196" s="5"/>
      <c r="K196" s="179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25">
      <c r="A197" s="188">
        <f>'Données projet'!A185</f>
        <v>150</v>
      </c>
      <c r="B197" s="189">
        <f>'Données projet'!D185</f>
        <v>376</v>
      </c>
      <c r="C197" s="200">
        <v>200</v>
      </c>
      <c r="D197" s="187">
        <f t="shared" si="11"/>
        <v>75200</v>
      </c>
      <c r="E197" s="202"/>
      <c r="F197" s="259"/>
      <c r="G197" s="219"/>
      <c r="H197" s="199"/>
      <c r="I197" s="200"/>
      <c r="J197" s="5"/>
      <c r="K197" s="179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25">
      <c r="A198" s="5"/>
      <c r="B198" s="5"/>
      <c r="C198" s="5"/>
      <c r="D198" s="5"/>
      <c r="E198" s="5"/>
      <c r="F198" s="257"/>
      <c r="G198" s="219"/>
      <c r="H198" s="199"/>
      <c r="I198" s="200"/>
      <c r="J198" s="5"/>
      <c r="K198" s="179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25">
      <c r="A199" s="5"/>
      <c r="B199" s="5"/>
      <c r="C199" s="5"/>
      <c r="D199" s="5"/>
      <c r="E199" s="5"/>
      <c r="F199" s="257"/>
      <c r="G199" s="219"/>
      <c r="H199" s="199"/>
      <c r="I199" s="200"/>
      <c r="J199" s="5"/>
      <c r="K199" s="179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25">
      <c r="A200" s="49" t="s">
        <v>171</v>
      </c>
      <c r="B200" s="182" t="str">
        <f>IF('Données projet'!$B$15="","",'Données projet'!$B$15)</f>
        <v>Merisier</v>
      </c>
      <c r="C200" s="5"/>
      <c r="D200" s="5"/>
      <c r="E200" s="5"/>
      <c r="F200" s="257"/>
      <c r="G200" s="219"/>
      <c r="H200" s="199"/>
      <c r="I200" s="200"/>
      <c r="J200" s="5"/>
      <c r="K200" s="179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25">
      <c r="A201" s="49"/>
      <c r="B201" s="5"/>
      <c r="C201" s="5"/>
      <c r="D201" s="5"/>
      <c r="E201" s="5"/>
      <c r="F201" s="257"/>
      <c r="G201" s="219"/>
      <c r="H201" s="199"/>
      <c r="I201" s="200"/>
      <c r="J201" s="5"/>
      <c r="K201" s="179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25">
      <c r="A202" s="253" t="s">
        <v>180</v>
      </c>
      <c r="B202" s="51" t="s">
        <v>256</v>
      </c>
      <c r="C202" s="51" t="s">
        <v>255</v>
      </c>
      <c r="D202" s="253" t="s">
        <v>252</v>
      </c>
      <c r="E202" s="253" t="s">
        <v>320</v>
      </c>
      <c r="F202" s="258"/>
      <c r="G202" s="219"/>
      <c r="H202" s="199"/>
      <c r="I202" s="200"/>
      <c r="J202" s="5"/>
      <c r="K202" s="179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25">
      <c r="A203" s="206">
        <v>0</v>
      </c>
      <c r="B203" s="209" t="s">
        <v>132</v>
      </c>
      <c r="C203" s="208" t="s">
        <v>132</v>
      </c>
      <c r="D203" s="207" t="s">
        <v>132</v>
      </c>
      <c r="E203" s="202"/>
      <c r="F203" s="258"/>
      <c r="G203" s="219"/>
      <c r="H203" s="199"/>
      <c r="I203" s="200"/>
      <c r="J203" s="5"/>
      <c r="K203" s="179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25">
      <c r="A204" s="206">
        <v>1</v>
      </c>
      <c r="B204" s="209" t="s">
        <v>132</v>
      </c>
      <c r="C204" s="208" t="s">
        <v>132</v>
      </c>
      <c r="D204" s="207" t="s">
        <v>132</v>
      </c>
      <c r="E204" s="202"/>
      <c r="F204" s="258"/>
      <c r="G204" s="217"/>
      <c r="H204" s="199"/>
      <c r="I204" s="200"/>
      <c r="J204" s="5"/>
      <c r="K204" s="179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25">
      <c r="A205" s="206">
        <v>2</v>
      </c>
      <c r="B205" s="209" t="s">
        <v>132</v>
      </c>
      <c r="C205" s="208" t="s">
        <v>132</v>
      </c>
      <c r="D205" s="207" t="s">
        <v>132</v>
      </c>
      <c r="E205" s="202"/>
      <c r="F205" s="258"/>
      <c r="G205" s="217"/>
      <c r="H205" s="199"/>
      <c r="I205" s="200"/>
      <c r="J205" s="5"/>
      <c r="K205" s="179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25">
      <c r="A206" s="206">
        <v>3</v>
      </c>
      <c r="B206" s="209" t="s">
        <v>132</v>
      </c>
      <c r="C206" s="208" t="s">
        <v>132</v>
      </c>
      <c r="D206" s="207" t="s">
        <v>132</v>
      </c>
      <c r="E206" s="202"/>
      <c r="F206" s="258"/>
      <c r="G206" s="217"/>
      <c r="H206" s="199"/>
      <c r="I206" s="200"/>
      <c r="J206" s="5"/>
      <c r="K206" s="179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25">
      <c r="A207" s="206">
        <v>4</v>
      </c>
      <c r="B207" s="209" t="s">
        <v>132</v>
      </c>
      <c r="C207" s="208" t="s">
        <v>132</v>
      </c>
      <c r="D207" s="207" t="s">
        <v>132</v>
      </c>
      <c r="E207" s="202"/>
      <c r="F207" s="258"/>
      <c r="G207" s="217"/>
      <c r="H207" s="199"/>
      <c r="I207" s="200"/>
      <c r="J207" s="5"/>
      <c r="K207" s="179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25">
      <c r="A208" s="206">
        <v>5</v>
      </c>
      <c r="B208" s="209" t="s">
        <v>132</v>
      </c>
      <c r="C208" s="208" t="s">
        <v>132</v>
      </c>
      <c r="D208" s="207" t="s">
        <v>132</v>
      </c>
      <c r="E208" s="202"/>
      <c r="F208" s="258"/>
      <c r="G208" s="218"/>
      <c r="H208" s="199"/>
      <c r="I208" s="200"/>
      <c r="J208" s="5"/>
      <c r="K208" s="179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25">
      <c r="A209" s="188">
        <f>'Données projet'!A192</f>
        <v>15</v>
      </c>
      <c r="B209" s="189">
        <f>'Données projet'!D192</f>
        <v>0</v>
      </c>
      <c r="C209" s="202"/>
      <c r="D209" s="187">
        <f>B209*C209</f>
        <v>0</v>
      </c>
      <c r="E209" s="202"/>
      <c r="F209" s="259"/>
      <c r="G209" s="218"/>
      <c r="H209" s="199"/>
      <c r="I209" s="200"/>
      <c r="J209" s="5"/>
      <c r="K209" s="179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25">
      <c r="A210" s="188">
        <f>'Données projet'!A193</f>
        <v>20</v>
      </c>
      <c r="B210" s="189">
        <f>'Données projet'!D193</f>
        <v>0</v>
      </c>
      <c r="C210" s="202"/>
      <c r="D210" s="187">
        <f t="shared" ref="D210:D228" si="12">B210*C210</f>
        <v>0</v>
      </c>
      <c r="E210" s="202"/>
      <c r="F210" s="259"/>
      <c r="G210" s="218"/>
      <c r="H210" s="199"/>
      <c r="I210" s="200"/>
      <c r="J210" s="5"/>
      <c r="K210" s="179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25">
      <c r="A211" s="188">
        <f>'Données projet'!A194</f>
        <v>25</v>
      </c>
      <c r="B211" s="189">
        <f>'Données projet'!D194</f>
        <v>55</v>
      </c>
      <c r="C211" s="202">
        <v>10</v>
      </c>
      <c r="D211" s="187">
        <f t="shared" si="12"/>
        <v>550</v>
      </c>
      <c r="E211" s="202"/>
      <c r="F211" s="259"/>
      <c r="G211" s="218"/>
      <c r="H211" s="199"/>
      <c r="I211" s="200"/>
      <c r="J211" s="5"/>
      <c r="K211" s="179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25">
      <c r="A212" s="188">
        <f>'Données projet'!A195</f>
        <v>31</v>
      </c>
      <c r="B212" s="189">
        <f>'Données projet'!D195</f>
        <v>36</v>
      </c>
      <c r="C212" s="202">
        <v>10</v>
      </c>
      <c r="D212" s="187">
        <f t="shared" si="12"/>
        <v>360</v>
      </c>
      <c r="E212" s="202"/>
      <c r="F212" s="259"/>
      <c r="G212" s="218"/>
      <c r="H212" s="199"/>
      <c r="I212" s="200"/>
      <c r="J212" s="5"/>
      <c r="K212" s="179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25">
      <c r="A213" s="188">
        <f>'Données projet'!A196</f>
        <v>37</v>
      </c>
      <c r="B213" s="189">
        <f>'Données projet'!D196</f>
        <v>36</v>
      </c>
      <c r="C213" s="202">
        <v>15</v>
      </c>
      <c r="D213" s="187">
        <f t="shared" si="12"/>
        <v>540</v>
      </c>
      <c r="E213" s="202"/>
      <c r="F213" s="259"/>
      <c r="G213" s="218"/>
      <c r="H213" s="199"/>
      <c r="I213" s="200"/>
      <c r="J213" s="5"/>
      <c r="K213" s="179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25">
      <c r="A214" s="188">
        <f>'Données projet'!A197</f>
        <v>44</v>
      </c>
      <c r="B214" s="189">
        <f>'Données projet'!D197</f>
        <v>43</v>
      </c>
      <c r="C214" s="202">
        <v>20</v>
      </c>
      <c r="D214" s="187">
        <f t="shared" si="12"/>
        <v>860</v>
      </c>
      <c r="E214" s="202"/>
      <c r="F214" s="259"/>
      <c r="G214" s="218"/>
      <c r="H214" s="199"/>
      <c r="I214" s="200"/>
      <c r="J214" s="5"/>
      <c r="K214" s="179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25">
      <c r="A215" s="188">
        <f>'Données projet'!A198</f>
        <v>52</v>
      </c>
      <c r="B215" s="189">
        <f>'Données projet'!D198</f>
        <v>48</v>
      </c>
      <c r="C215" s="202">
        <v>30</v>
      </c>
      <c r="D215" s="187">
        <f t="shared" si="12"/>
        <v>1440</v>
      </c>
      <c r="E215" s="202"/>
      <c r="F215" s="259"/>
      <c r="G215" s="219"/>
      <c r="H215" s="199"/>
      <c r="I215" s="200"/>
      <c r="J215" s="5"/>
      <c r="K215" s="179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25">
      <c r="A216" s="188">
        <f>'Données projet'!A199</f>
        <v>60</v>
      </c>
      <c r="B216" s="189">
        <f>'Données projet'!D199</f>
        <v>47</v>
      </c>
      <c r="C216" s="202">
        <v>40</v>
      </c>
      <c r="D216" s="187">
        <f t="shared" si="12"/>
        <v>1880</v>
      </c>
      <c r="E216" s="202"/>
      <c r="F216" s="259"/>
      <c r="G216" s="219"/>
      <c r="H216" s="199"/>
      <c r="I216" s="200"/>
      <c r="J216" s="5"/>
      <c r="K216" s="179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25">
      <c r="A217" s="188">
        <f>'Données projet'!A200</f>
        <v>69</v>
      </c>
      <c r="B217" s="189">
        <f>'Données projet'!D200</f>
        <v>328</v>
      </c>
      <c r="C217" s="202">
        <v>100</v>
      </c>
      <c r="D217" s="187">
        <f t="shared" si="12"/>
        <v>32800</v>
      </c>
      <c r="E217" s="202"/>
      <c r="F217" s="259"/>
      <c r="G217" s="219"/>
      <c r="H217" s="199"/>
      <c r="I217" s="200"/>
      <c r="J217" s="5"/>
      <c r="K217" s="179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25">
      <c r="A218" s="188">
        <f>'Données projet'!A201</f>
        <v>0</v>
      </c>
      <c r="B218" s="189">
        <f>'Données projet'!D201</f>
        <v>0</v>
      </c>
      <c r="C218" s="202"/>
      <c r="D218" s="187">
        <f t="shared" si="12"/>
        <v>0</v>
      </c>
      <c r="E218" s="202"/>
      <c r="F218" s="259"/>
      <c r="G218" s="219"/>
      <c r="H218" s="199"/>
      <c r="I218" s="200"/>
      <c r="J218" s="5"/>
      <c r="K218" s="179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25">
      <c r="A219" s="188">
        <f>'Données projet'!A202</f>
        <v>0</v>
      </c>
      <c r="B219" s="189">
        <f>'Données projet'!D202</f>
        <v>0</v>
      </c>
      <c r="C219" s="202"/>
      <c r="D219" s="187">
        <f t="shared" si="12"/>
        <v>0</v>
      </c>
      <c r="E219" s="202"/>
      <c r="F219" s="259"/>
      <c r="G219" s="219"/>
      <c r="H219" s="199"/>
      <c r="I219" s="200"/>
      <c r="J219" s="5"/>
      <c r="K219" s="179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25">
      <c r="A220" s="188">
        <f>'Données projet'!A203</f>
        <v>0</v>
      </c>
      <c r="B220" s="189">
        <f>'Données projet'!D203</f>
        <v>0</v>
      </c>
      <c r="C220" s="202"/>
      <c r="D220" s="187">
        <f t="shared" si="12"/>
        <v>0</v>
      </c>
      <c r="E220" s="202"/>
      <c r="F220" s="259"/>
      <c r="G220" s="219"/>
      <c r="H220" s="5"/>
      <c r="I220" s="5"/>
      <c r="J220" s="5"/>
      <c r="K220" s="179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25">
      <c r="A221" s="188">
        <f>'Données projet'!A204</f>
        <v>0</v>
      </c>
      <c r="B221" s="189">
        <f>'Données projet'!D204</f>
        <v>0</v>
      </c>
      <c r="C221" s="202"/>
      <c r="D221" s="187">
        <f t="shared" si="12"/>
        <v>0</v>
      </c>
      <c r="E221" s="202"/>
      <c r="F221" s="259"/>
      <c r="G221" s="219"/>
      <c r="H221" s="5"/>
      <c r="I221" s="5"/>
      <c r="J221" s="5"/>
      <c r="K221" s="179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25">
      <c r="A222" s="188">
        <f>'Données projet'!A205</f>
        <v>0</v>
      </c>
      <c r="B222" s="189">
        <f>'Données projet'!D205</f>
        <v>0</v>
      </c>
      <c r="C222" s="202"/>
      <c r="D222" s="187">
        <f t="shared" si="12"/>
        <v>0</v>
      </c>
      <c r="E222" s="202"/>
      <c r="F222" s="259"/>
      <c r="G222" s="219"/>
      <c r="H222" s="5"/>
      <c r="I222" s="5"/>
      <c r="J222" s="5"/>
      <c r="K222" s="179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25">
      <c r="A223" s="188">
        <f>'Données projet'!A206</f>
        <v>0</v>
      </c>
      <c r="B223" s="189">
        <f>'Données projet'!D206</f>
        <v>0</v>
      </c>
      <c r="C223" s="202"/>
      <c r="D223" s="187">
        <f t="shared" si="12"/>
        <v>0</v>
      </c>
      <c r="E223" s="202"/>
      <c r="F223" s="259"/>
      <c r="G223" s="219"/>
      <c r="H223" s="5"/>
      <c r="I223" s="5"/>
      <c r="J223" s="5"/>
      <c r="K223" s="179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25">
      <c r="A224" s="188">
        <f>'Données projet'!A207</f>
        <v>0</v>
      </c>
      <c r="B224" s="189">
        <f>'Données projet'!D207</f>
        <v>0</v>
      </c>
      <c r="C224" s="202"/>
      <c r="D224" s="187">
        <f t="shared" si="12"/>
        <v>0</v>
      </c>
      <c r="E224" s="202"/>
      <c r="F224" s="259"/>
      <c r="G224" s="219"/>
      <c r="H224" s="5"/>
      <c r="I224" s="5"/>
      <c r="J224" s="5"/>
      <c r="K224" s="179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25">
      <c r="A225" s="188">
        <f>'Données projet'!A208</f>
        <v>0</v>
      </c>
      <c r="B225" s="189">
        <f>'Données projet'!D208</f>
        <v>0</v>
      </c>
      <c r="C225" s="202"/>
      <c r="D225" s="187">
        <f t="shared" si="12"/>
        <v>0</v>
      </c>
      <c r="E225" s="202"/>
      <c r="F225" s="259"/>
      <c r="G225" s="219"/>
      <c r="H225" s="5"/>
      <c r="I225" s="5"/>
      <c r="J225" s="5"/>
      <c r="K225" s="179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25">
      <c r="A226" s="188">
        <f>'Données projet'!A209</f>
        <v>0</v>
      </c>
      <c r="B226" s="189">
        <f>'Données projet'!D209</f>
        <v>0</v>
      </c>
      <c r="C226" s="202"/>
      <c r="D226" s="187">
        <f t="shared" si="12"/>
        <v>0</v>
      </c>
      <c r="E226" s="202"/>
      <c r="F226" s="259"/>
      <c r="G226" s="219"/>
      <c r="H226" s="5"/>
      <c r="I226" s="5"/>
      <c r="J226" s="5"/>
      <c r="K226" s="179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25">
      <c r="A227" s="188">
        <f>'Données projet'!A210</f>
        <v>0</v>
      </c>
      <c r="B227" s="189">
        <f>'Données projet'!D210</f>
        <v>0</v>
      </c>
      <c r="C227" s="202"/>
      <c r="D227" s="187">
        <f t="shared" si="12"/>
        <v>0</v>
      </c>
      <c r="E227" s="202"/>
      <c r="F227" s="259"/>
      <c r="G227" s="219"/>
      <c r="H227" s="5"/>
      <c r="I227" s="5"/>
      <c r="J227" s="5"/>
      <c r="K227" s="179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25">
      <c r="A228" s="188">
        <f>'Données projet'!A211</f>
        <v>0</v>
      </c>
      <c r="B228" s="189">
        <f>'Données projet'!D211</f>
        <v>0</v>
      </c>
      <c r="C228" s="202"/>
      <c r="D228" s="187">
        <f t="shared" si="12"/>
        <v>0</v>
      </c>
      <c r="E228" s="202"/>
      <c r="F228" s="259"/>
      <c r="G228" s="219"/>
      <c r="H228" s="5"/>
      <c r="I228" s="5"/>
      <c r="J228" s="5"/>
      <c r="K228" s="179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25">
      <c r="A229" s="5"/>
      <c r="B229" s="5"/>
      <c r="C229" s="5"/>
      <c r="D229" s="5"/>
      <c r="E229" s="5"/>
      <c r="F229" s="257"/>
      <c r="G229" s="219"/>
      <c r="H229" s="5"/>
      <c r="I229" s="5"/>
      <c r="J229" s="5"/>
      <c r="K229" s="179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25">
      <c r="A230" s="5"/>
      <c r="B230" s="5"/>
      <c r="C230" s="5"/>
      <c r="D230" s="5"/>
      <c r="E230" s="5"/>
      <c r="F230" s="257"/>
      <c r="G230" s="219"/>
      <c r="H230" s="5"/>
      <c r="I230" s="5"/>
      <c r="J230" s="5"/>
      <c r="K230" s="179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25">
      <c r="A231" s="49" t="s">
        <v>172</v>
      </c>
      <c r="B231" s="182" t="str">
        <f>IF('Données projet'!$B$16="","",'Données projet'!$B$16)</f>
        <v/>
      </c>
      <c r="C231" s="5"/>
      <c r="D231" s="5"/>
      <c r="E231" s="5"/>
      <c r="F231" s="257"/>
      <c r="G231" s="219"/>
      <c r="H231" s="5"/>
      <c r="I231" s="5"/>
      <c r="J231" s="5"/>
      <c r="K231" s="179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25">
      <c r="A232" s="49"/>
      <c r="B232" s="5"/>
      <c r="C232" s="5"/>
      <c r="D232" s="5"/>
      <c r="E232" s="5"/>
      <c r="F232" s="257"/>
      <c r="G232" s="219"/>
      <c r="H232" s="5"/>
      <c r="I232" s="5"/>
      <c r="J232" s="5"/>
      <c r="K232" s="179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25">
      <c r="A233" s="253" t="s">
        <v>180</v>
      </c>
      <c r="B233" s="51" t="s">
        <v>256</v>
      </c>
      <c r="C233" s="51" t="s">
        <v>255</v>
      </c>
      <c r="D233" s="253" t="s">
        <v>252</v>
      </c>
      <c r="E233" s="253" t="s">
        <v>320</v>
      </c>
      <c r="F233" s="258"/>
      <c r="G233" s="219"/>
      <c r="H233" s="5"/>
      <c r="I233" s="5"/>
      <c r="J233" s="5"/>
      <c r="K233" s="179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25">
      <c r="A234" s="206">
        <v>0</v>
      </c>
      <c r="B234" s="209" t="s">
        <v>132</v>
      </c>
      <c r="C234" s="208" t="s">
        <v>132</v>
      </c>
      <c r="D234" s="207" t="s">
        <v>132</v>
      </c>
      <c r="E234" s="202"/>
      <c r="F234" s="258"/>
      <c r="G234" s="219"/>
      <c r="H234" s="5"/>
      <c r="I234" s="5"/>
      <c r="J234" s="5"/>
      <c r="K234" s="179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25">
      <c r="A235" s="206">
        <v>1</v>
      </c>
      <c r="B235" s="209" t="s">
        <v>132</v>
      </c>
      <c r="C235" s="208" t="s">
        <v>132</v>
      </c>
      <c r="D235" s="207" t="s">
        <v>132</v>
      </c>
      <c r="E235" s="202"/>
      <c r="F235" s="258"/>
      <c r="G235" s="217"/>
      <c r="H235" s="5"/>
      <c r="I235" s="5"/>
      <c r="J235" s="5"/>
      <c r="K235" s="179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25">
      <c r="A236" s="206">
        <v>2</v>
      </c>
      <c r="B236" s="209" t="s">
        <v>132</v>
      </c>
      <c r="C236" s="208" t="s">
        <v>132</v>
      </c>
      <c r="D236" s="207" t="s">
        <v>132</v>
      </c>
      <c r="E236" s="202"/>
      <c r="F236" s="258"/>
      <c r="G236" s="217"/>
      <c r="H236" s="5"/>
      <c r="I236" s="5"/>
      <c r="J236" s="5"/>
      <c r="K236" s="179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25">
      <c r="A237" s="206">
        <v>3</v>
      </c>
      <c r="B237" s="209" t="s">
        <v>132</v>
      </c>
      <c r="C237" s="208" t="s">
        <v>132</v>
      </c>
      <c r="D237" s="207" t="s">
        <v>132</v>
      </c>
      <c r="E237" s="202"/>
      <c r="F237" s="258"/>
      <c r="G237" s="217"/>
      <c r="H237" s="5"/>
      <c r="I237" s="5"/>
      <c r="J237" s="5"/>
      <c r="K237" s="179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25">
      <c r="A238" s="206">
        <v>4</v>
      </c>
      <c r="B238" s="209" t="s">
        <v>132</v>
      </c>
      <c r="C238" s="208" t="s">
        <v>132</v>
      </c>
      <c r="D238" s="207" t="s">
        <v>132</v>
      </c>
      <c r="E238" s="202"/>
      <c r="F238" s="258"/>
      <c r="G238" s="217"/>
      <c r="H238" s="5"/>
      <c r="I238" s="5"/>
      <c r="J238" s="5"/>
      <c r="K238" s="179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25">
      <c r="A239" s="206">
        <v>5</v>
      </c>
      <c r="B239" s="209" t="s">
        <v>132</v>
      </c>
      <c r="C239" s="208" t="s">
        <v>132</v>
      </c>
      <c r="D239" s="207" t="s">
        <v>132</v>
      </c>
      <c r="E239" s="202"/>
      <c r="F239" s="258"/>
      <c r="G239" s="218"/>
      <c r="H239" s="5"/>
      <c r="I239" s="5"/>
      <c r="J239" s="5"/>
      <c r="K239" s="179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25">
      <c r="A240" s="188">
        <f>'Données projet'!A218</f>
        <v>0</v>
      </c>
      <c r="B240" s="189">
        <f>'Données projet'!D218</f>
        <v>0</v>
      </c>
      <c r="C240" s="202"/>
      <c r="D240" s="187">
        <f>B240*C240</f>
        <v>0</v>
      </c>
      <c r="E240" s="202"/>
      <c r="F240" s="259"/>
      <c r="G240" s="218"/>
      <c r="H240" s="5"/>
      <c r="I240" s="5"/>
      <c r="J240" s="5"/>
      <c r="K240" s="179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25">
      <c r="A241" s="188">
        <f>'Données projet'!A219</f>
        <v>0</v>
      </c>
      <c r="B241" s="189">
        <f>'Données projet'!D219</f>
        <v>0</v>
      </c>
      <c r="C241" s="202"/>
      <c r="D241" s="187">
        <f t="shared" ref="D241:D259" si="13">B241*C241</f>
        <v>0</v>
      </c>
      <c r="E241" s="202"/>
      <c r="F241" s="259"/>
      <c r="G241" s="218"/>
      <c r="H241" s="5"/>
      <c r="I241" s="5"/>
      <c r="J241" s="5"/>
      <c r="K241" s="179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25">
      <c r="A242" s="188">
        <f>'Données projet'!A220</f>
        <v>0</v>
      </c>
      <c r="B242" s="189">
        <f>'Données projet'!D220</f>
        <v>0</v>
      </c>
      <c r="C242" s="202"/>
      <c r="D242" s="187">
        <f t="shared" si="13"/>
        <v>0</v>
      </c>
      <c r="E242" s="202"/>
      <c r="F242" s="259"/>
      <c r="G242" s="218"/>
      <c r="H242" s="5"/>
      <c r="I242" s="5"/>
      <c r="J242" s="5"/>
      <c r="K242" s="179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25">
      <c r="A243" s="188">
        <f>'Données projet'!A221</f>
        <v>0</v>
      </c>
      <c r="B243" s="189">
        <f>'Données projet'!D221</f>
        <v>0</v>
      </c>
      <c r="C243" s="202"/>
      <c r="D243" s="187">
        <f t="shared" si="13"/>
        <v>0</v>
      </c>
      <c r="E243" s="202"/>
      <c r="F243" s="259"/>
      <c r="G243" s="218"/>
      <c r="H243" s="5"/>
      <c r="I243" s="5"/>
      <c r="J243" s="5"/>
      <c r="K243" s="179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25">
      <c r="A244" s="188">
        <f>'Données projet'!A222</f>
        <v>0</v>
      </c>
      <c r="B244" s="189">
        <f>'Données projet'!D222</f>
        <v>0</v>
      </c>
      <c r="C244" s="202"/>
      <c r="D244" s="187">
        <f t="shared" si="13"/>
        <v>0</v>
      </c>
      <c r="E244" s="202"/>
      <c r="F244" s="259"/>
      <c r="G244" s="218"/>
      <c r="H244" s="5"/>
      <c r="I244" s="5"/>
      <c r="J244" s="5"/>
      <c r="K244" s="179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25">
      <c r="A245" s="188">
        <f>'Données projet'!A223</f>
        <v>0</v>
      </c>
      <c r="B245" s="189">
        <f>'Données projet'!D223</f>
        <v>0</v>
      </c>
      <c r="C245" s="202"/>
      <c r="D245" s="187">
        <f t="shared" si="13"/>
        <v>0</v>
      </c>
      <c r="E245" s="202"/>
      <c r="F245" s="259"/>
      <c r="G245" s="218"/>
      <c r="H245" s="5"/>
      <c r="I245" s="5"/>
      <c r="J245" s="5"/>
      <c r="K245" s="179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25">
      <c r="A246" s="188">
        <f>'Données projet'!A224</f>
        <v>0</v>
      </c>
      <c r="B246" s="189">
        <f>'Données projet'!D224</f>
        <v>0</v>
      </c>
      <c r="C246" s="202"/>
      <c r="D246" s="187">
        <f t="shared" si="13"/>
        <v>0</v>
      </c>
      <c r="E246" s="202"/>
      <c r="F246" s="259"/>
      <c r="G246" s="219"/>
      <c r="H246" s="5"/>
      <c r="I246" s="5"/>
      <c r="J246" s="5"/>
      <c r="K246" s="179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25">
      <c r="A247" s="188">
        <f>'Données projet'!A225</f>
        <v>0</v>
      </c>
      <c r="B247" s="189">
        <f>'Données projet'!D225</f>
        <v>0</v>
      </c>
      <c r="C247" s="202"/>
      <c r="D247" s="187">
        <f t="shared" si="13"/>
        <v>0</v>
      </c>
      <c r="E247" s="202"/>
      <c r="F247" s="259"/>
      <c r="G247" s="219"/>
      <c r="H247" s="5"/>
      <c r="I247" s="5"/>
      <c r="J247" s="5"/>
      <c r="K247" s="179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25">
      <c r="A248" s="188">
        <f>'Données projet'!A226</f>
        <v>0</v>
      </c>
      <c r="B248" s="189">
        <f>'Données projet'!D226</f>
        <v>0</v>
      </c>
      <c r="C248" s="202"/>
      <c r="D248" s="187">
        <f t="shared" si="13"/>
        <v>0</v>
      </c>
      <c r="E248" s="202"/>
      <c r="F248" s="259"/>
      <c r="G248" s="219"/>
      <c r="H248" s="5"/>
      <c r="I248" s="5"/>
      <c r="J248" s="5"/>
      <c r="K248" s="179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25">
      <c r="A249" s="188">
        <f>'Données projet'!A227</f>
        <v>0</v>
      </c>
      <c r="B249" s="189">
        <f>'Données projet'!D227</f>
        <v>0</v>
      </c>
      <c r="C249" s="202"/>
      <c r="D249" s="187">
        <f t="shared" si="13"/>
        <v>0</v>
      </c>
      <c r="E249" s="202"/>
      <c r="F249" s="259"/>
      <c r="G249" s="219"/>
      <c r="H249" s="5"/>
      <c r="I249" s="5"/>
      <c r="J249" s="5"/>
      <c r="K249" s="179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25">
      <c r="A250" s="188">
        <f>'Données projet'!A228</f>
        <v>0</v>
      </c>
      <c r="B250" s="189">
        <f>'Données projet'!D228</f>
        <v>0</v>
      </c>
      <c r="C250" s="202"/>
      <c r="D250" s="187">
        <f t="shared" si="13"/>
        <v>0</v>
      </c>
      <c r="E250" s="202"/>
      <c r="F250" s="259"/>
      <c r="G250" s="219"/>
      <c r="H250" s="5"/>
      <c r="I250" s="5"/>
      <c r="J250" s="5"/>
      <c r="K250" s="179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25">
      <c r="A251" s="188">
        <f>'Données projet'!A229</f>
        <v>0</v>
      </c>
      <c r="B251" s="189">
        <f>'Données projet'!D229</f>
        <v>0</v>
      </c>
      <c r="C251" s="202"/>
      <c r="D251" s="187">
        <f t="shared" si="13"/>
        <v>0</v>
      </c>
      <c r="E251" s="202"/>
      <c r="F251" s="259"/>
      <c r="G251" s="219"/>
      <c r="H251" s="5"/>
      <c r="I251" s="5"/>
      <c r="J251" s="5"/>
      <c r="K251" s="179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25">
      <c r="A252" s="188">
        <f>'Données projet'!A230</f>
        <v>0</v>
      </c>
      <c r="B252" s="189">
        <f>'Données projet'!D230</f>
        <v>0</v>
      </c>
      <c r="C252" s="202"/>
      <c r="D252" s="187">
        <f t="shared" si="13"/>
        <v>0</v>
      </c>
      <c r="E252" s="202"/>
      <c r="F252" s="259"/>
      <c r="G252" s="219"/>
      <c r="H252" s="5"/>
      <c r="I252" s="5"/>
      <c r="J252" s="5"/>
      <c r="K252" s="179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25">
      <c r="A253" s="188">
        <f>'Données projet'!A231</f>
        <v>0</v>
      </c>
      <c r="B253" s="189">
        <f>'Données projet'!D231</f>
        <v>0</v>
      </c>
      <c r="C253" s="202"/>
      <c r="D253" s="187">
        <f t="shared" si="13"/>
        <v>0</v>
      </c>
      <c r="E253" s="202"/>
      <c r="F253" s="259"/>
      <c r="G253" s="219"/>
      <c r="H253" s="5"/>
      <c r="I253" s="5"/>
      <c r="J253" s="5"/>
      <c r="K253" s="179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25">
      <c r="A254" s="188">
        <f>'Données projet'!A232</f>
        <v>0</v>
      </c>
      <c r="B254" s="189">
        <f>'Données projet'!D232</f>
        <v>0</v>
      </c>
      <c r="C254" s="202"/>
      <c r="D254" s="187">
        <f t="shared" si="13"/>
        <v>0</v>
      </c>
      <c r="E254" s="202"/>
      <c r="F254" s="259"/>
      <c r="G254" s="219"/>
      <c r="H254" s="5"/>
      <c r="I254" s="5"/>
      <c r="J254" s="5"/>
      <c r="K254" s="179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25">
      <c r="A255" s="188">
        <f>'Données projet'!A233</f>
        <v>0</v>
      </c>
      <c r="B255" s="189">
        <f>'Données projet'!D233</f>
        <v>0</v>
      </c>
      <c r="C255" s="202"/>
      <c r="D255" s="187">
        <f t="shared" si="13"/>
        <v>0</v>
      </c>
      <c r="E255" s="202"/>
      <c r="F255" s="259"/>
      <c r="G255" s="219"/>
      <c r="H255" s="5"/>
      <c r="I255" s="5"/>
      <c r="J255" s="5"/>
      <c r="K255" s="179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25">
      <c r="A256" s="188">
        <f>'Données projet'!A234</f>
        <v>0</v>
      </c>
      <c r="B256" s="189">
        <f>'Données projet'!D234</f>
        <v>0</v>
      </c>
      <c r="C256" s="202"/>
      <c r="D256" s="187">
        <f t="shared" si="13"/>
        <v>0</v>
      </c>
      <c r="E256" s="202"/>
      <c r="F256" s="259"/>
      <c r="G256" s="219"/>
      <c r="H256" s="5"/>
      <c r="I256" s="5"/>
      <c r="J256" s="5"/>
      <c r="K256" s="179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25">
      <c r="A257" s="188">
        <f>'Données projet'!A235</f>
        <v>0</v>
      </c>
      <c r="B257" s="189">
        <f>'Données projet'!D235</f>
        <v>0</v>
      </c>
      <c r="C257" s="202"/>
      <c r="D257" s="187">
        <f t="shared" si="13"/>
        <v>0</v>
      </c>
      <c r="E257" s="202"/>
      <c r="F257" s="259"/>
      <c r="G257" s="219"/>
      <c r="H257" s="5"/>
      <c r="I257" s="5"/>
      <c r="J257" s="5"/>
      <c r="K257" s="179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25">
      <c r="A258" s="188">
        <f>'Données projet'!A236</f>
        <v>0</v>
      </c>
      <c r="B258" s="189">
        <f>'Données projet'!D236</f>
        <v>0</v>
      </c>
      <c r="C258" s="202"/>
      <c r="D258" s="187">
        <f t="shared" si="13"/>
        <v>0</v>
      </c>
      <c r="E258" s="202"/>
      <c r="F258" s="259"/>
      <c r="G258" s="219"/>
      <c r="H258" s="5"/>
      <c r="I258" s="5"/>
      <c r="J258" s="5"/>
      <c r="K258" s="179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25">
      <c r="A259" s="188">
        <f>'Données projet'!A237</f>
        <v>0</v>
      </c>
      <c r="B259" s="189">
        <f>'Données projet'!D237</f>
        <v>0</v>
      </c>
      <c r="C259" s="202"/>
      <c r="D259" s="187">
        <f t="shared" si="13"/>
        <v>0</v>
      </c>
      <c r="E259" s="202"/>
      <c r="F259" s="259"/>
      <c r="G259" s="219"/>
      <c r="H259" s="5"/>
      <c r="I259" s="5"/>
      <c r="J259" s="5"/>
      <c r="K259" s="179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25">
      <c r="A260" s="5"/>
      <c r="B260" s="5"/>
      <c r="C260" s="5"/>
      <c r="D260" s="5"/>
      <c r="E260" s="5"/>
      <c r="F260" s="257"/>
      <c r="G260" s="219"/>
      <c r="H260" s="5"/>
      <c r="I260" s="5"/>
      <c r="J260" s="5"/>
      <c r="K260" s="179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25">
      <c r="A261" s="5"/>
      <c r="B261" s="5"/>
      <c r="C261" s="5"/>
      <c r="D261" s="5"/>
      <c r="E261" s="5"/>
      <c r="F261" s="257"/>
      <c r="G261" s="219"/>
      <c r="H261" s="5"/>
      <c r="I261" s="5"/>
      <c r="J261" s="5"/>
      <c r="K261" s="179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25">
      <c r="A262" s="49" t="s">
        <v>173</v>
      </c>
      <c r="B262" s="182" t="str">
        <f>IF('Données projet'!$B$17="","",'Données projet'!$B$17)</f>
        <v/>
      </c>
      <c r="C262" s="5"/>
      <c r="D262" s="5"/>
      <c r="E262" s="5"/>
      <c r="F262" s="257"/>
      <c r="G262" s="219"/>
      <c r="H262" s="5"/>
      <c r="I262" s="5"/>
      <c r="J262" s="5"/>
      <c r="K262" s="179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25">
      <c r="A263" s="49"/>
      <c r="B263" s="5"/>
      <c r="C263" s="5"/>
      <c r="D263" s="5"/>
      <c r="E263" s="5"/>
      <c r="F263" s="257"/>
      <c r="G263" s="219"/>
      <c r="H263" s="5"/>
      <c r="I263" s="5"/>
      <c r="J263" s="5"/>
      <c r="K263" s="179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25">
      <c r="A264" s="253" t="s">
        <v>180</v>
      </c>
      <c r="B264" s="51" t="s">
        <v>256</v>
      </c>
      <c r="C264" s="51" t="s">
        <v>255</v>
      </c>
      <c r="D264" s="253" t="s">
        <v>252</v>
      </c>
      <c r="E264" s="253" t="s">
        <v>320</v>
      </c>
      <c r="F264" s="258"/>
      <c r="G264" s="219"/>
      <c r="H264" s="5"/>
      <c r="I264" s="5"/>
      <c r="J264" s="5"/>
      <c r="K264" s="179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25">
      <c r="A265" s="206">
        <v>0</v>
      </c>
      <c r="B265" s="209" t="s">
        <v>132</v>
      </c>
      <c r="C265" s="208" t="s">
        <v>132</v>
      </c>
      <c r="D265" s="207" t="s">
        <v>132</v>
      </c>
      <c r="E265" s="202"/>
      <c r="F265" s="258"/>
      <c r="G265" s="219"/>
      <c r="H265" s="5"/>
      <c r="I265" s="5"/>
      <c r="J265" s="5"/>
      <c r="K265" s="179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25">
      <c r="A266" s="206">
        <v>1</v>
      </c>
      <c r="B266" s="209" t="s">
        <v>132</v>
      </c>
      <c r="C266" s="208" t="s">
        <v>132</v>
      </c>
      <c r="D266" s="207" t="s">
        <v>132</v>
      </c>
      <c r="E266" s="202"/>
      <c r="F266" s="258"/>
      <c r="G266" s="217"/>
      <c r="H266" s="5"/>
      <c r="I266" s="5"/>
      <c r="J266" s="5"/>
      <c r="K266" s="179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25">
      <c r="A267" s="206">
        <v>2</v>
      </c>
      <c r="B267" s="209" t="s">
        <v>132</v>
      </c>
      <c r="C267" s="208" t="s">
        <v>132</v>
      </c>
      <c r="D267" s="207" t="s">
        <v>132</v>
      </c>
      <c r="E267" s="202"/>
      <c r="F267" s="258"/>
      <c r="G267" s="217"/>
      <c r="H267" s="5"/>
      <c r="I267" s="5"/>
      <c r="J267" s="5"/>
      <c r="K267" s="179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25">
      <c r="A268" s="206">
        <v>3</v>
      </c>
      <c r="B268" s="209" t="s">
        <v>132</v>
      </c>
      <c r="C268" s="208" t="s">
        <v>132</v>
      </c>
      <c r="D268" s="207" t="s">
        <v>132</v>
      </c>
      <c r="E268" s="202"/>
      <c r="F268" s="258"/>
      <c r="G268" s="217"/>
      <c r="H268" s="5"/>
      <c r="I268" s="5"/>
      <c r="J268" s="5"/>
      <c r="K268" s="179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25">
      <c r="A269" s="206">
        <v>4</v>
      </c>
      <c r="B269" s="209" t="s">
        <v>132</v>
      </c>
      <c r="C269" s="208" t="s">
        <v>132</v>
      </c>
      <c r="D269" s="207" t="s">
        <v>132</v>
      </c>
      <c r="E269" s="202"/>
      <c r="F269" s="258"/>
      <c r="G269" s="217"/>
      <c r="H269" s="5"/>
      <c r="I269" s="5"/>
      <c r="J269" s="5"/>
      <c r="K269" s="179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25">
      <c r="A270" s="206">
        <v>5</v>
      </c>
      <c r="B270" s="209" t="s">
        <v>132</v>
      </c>
      <c r="C270" s="208" t="s">
        <v>132</v>
      </c>
      <c r="D270" s="207" t="s">
        <v>132</v>
      </c>
      <c r="E270" s="202"/>
      <c r="F270" s="258"/>
      <c r="G270" s="218"/>
      <c r="H270" s="5"/>
      <c r="I270" s="5"/>
      <c r="J270" s="5"/>
      <c r="K270" s="179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25">
      <c r="A271" s="188">
        <f>'Données projet'!A244</f>
        <v>0</v>
      </c>
      <c r="B271" s="189">
        <f>'Données projet'!D244</f>
        <v>0</v>
      </c>
      <c r="C271" s="202"/>
      <c r="D271" s="187">
        <f>B271*C271</f>
        <v>0</v>
      </c>
      <c r="E271" s="202"/>
      <c r="F271" s="259"/>
      <c r="G271" s="218"/>
      <c r="H271" s="5"/>
      <c r="I271" s="5"/>
      <c r="J271" s="5"/>
      <c r="K271" s="179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25">
      <c r="A272" s="188">
        <f>'Données projet'!A245</f>
        <v>0</v>
      </c>
      <c r="B272" s="189">
        <f>'Données projet'!D245</f>
        <v>0</v>
      </c>
      <c r="C272" s="202"/>
      <c r="D272" s="187">
        <f t="shared" ref="D272:D290" si="14">B272*C272</f>
        <v>0</v>
      </c>
      <c r="E272" s="202"/>
      <c r="F272" s="259"/>
      <c r="G272" s="218"/>
      <c r="H272" s="5"/>
      <c r="I272" s="5"/>
      <c r="J272" s="5"/>
      <c r="K272" s="179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25">
      <c r="A273" s="188">
        <f>'Données projet'!A246</f>
        <v>0</v>
      </c>
      <c r="B273" s="189">
        <f>'Données projet'!D246</f>
        <v>0</v>
      </c>
      <c r="C273" s="202"/>
      <c r="D273" s="187">
        <f t="shared" si="14"/>
        <v>0</v>
      </c>
      <c r="E273" s="202"/>
      <c r="F273" s="259"/>
      <c r="G273" s="218"/>
      <c r="H273" s="5"/>
      <c r="I273" s="5"/>
      <c r="J273" s="5"/>
      <c r="K273" s="179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25">
      <c r="A274" s="188">
        <f>'Données projet'!A247</f>
        <v>0</v>
      </c>
      <c r="B274" s="189">
        <f>'Données projet'!D247</f>
        <v>0</v>
      </c>
      <c r="C274" s="202"/>
      <c r="D274" s="187">
        <f t="shared" si="14"/>
        <v>0</v>
      </c>
      <c r="E274" s="202"/>
      <c r="F274" s="259"/>
      <c r="G274" s="218"/>
      <c r="H274" s="5"/>
      <c r="I274" s="5"/>
      <c r="J274" s="5"/>
      <c r="K274" s="179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25">
      <c r="A275" s="188">
        <f>'Données projet'!A248</f>
        <v>0</v>
      </c>
      <c r="B275" s="189">
        <f>'Données projet'!D248</f>
        <v>0</v>
      </c>
      <c r="C275" s="202"/>
      <c r="D275" s="187">
        <f t="shared" si="14"/>
        <v>0</v>
      </c>
      <c r="E275" s="202"/>
      <c r="F275" s="259"/>
      <c r="G275" s="218"/>
      <c r="H275" s="5"/>
      <c r="I275" s="5"/>
      <c r="J275" s="5"/>
      <c r="K275" s="179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25">
      <c r="A276" s="188">
        <f>'Données projet'!A249</f>
        <v>0</v>
      </c>
      <c r="B276" s="189">
        <f>'Données projet'!D249</f>
        <v>0</v>
      </c>
      <c r="C276" s="202"/>
      <c r="D276" s="187">
        <f t="shared" si="14"/>
        <v>0</v>
      </c>
      <c r="E276" s="202"/>
      <c r="F276" s="259"/>
      <c r="G276" s="218"/>
      <c r="H276" s="5"/>
      <c r="I276" s="5"/>
      <c r="J276" s="5"/>
      <c r="K276" s="179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25">
      <c r="A277" s="188">
        <f>'Données projet'!A250</f>
        <v>0</v>
      </c>
      <c r="B277" s="189">
        <f>'Données projet'!D250</f>
        <v>0</v>
      </c>
      <c r="C277" s="202"/>
      <c r="D277" s="187">
        <f t="shared" si="14"/>
        <v>0</v>
      </c>
      <c r="E277" s="202"/>
      <c r="F277" s="259"/>
      <c r="G277" s="219"/>
      <c r="H277" s="5"/>
      <c r="I277" s="5"/>
      <c r="J277" s="5"/>
      <c r="K277" s="179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25">
      <c r="A278" s="188">
        <f>'Données projet'!A251</f>
        <v>0</v>
      </c>
      <c r="B278" s="189">
        <f>'Données projet'!D251</f>
        <v>0</v>
      </c>
      <c r="C278" s="202"/>
      <c r="D278" s="187">
        <f t="shared" si="14"/>
        <v>0</v>
      </c>
      <c r="E278" s="202"/>
      <c r="F278" s="259"/>
      <c r="G278" s="219"/>
      <c r="H278" s="5"/>
      <c r="I278" s="5"/>
      <c r="J278" s="5"/>
      <c r="K278" s="179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25">
      <c r="A279" s="188">
        <f>'Données projet'!A252</f>
        <v>0</v>
      </c>
      <c r="B279" s="189">
        <f>'Données projet'!D252</f>
        <v>0</v>
      </c>
      <c r="C279" s="202"/>
      <c r="D279" s="187">
        <f t="shared" si="14"/>
        <v>0</v>
      </c>
      <c r="E279" s="202"/>
      <c r="F279" s="259"/>
      <c r="G279" s="219"/>
      <c r="H279" s="5"/>
      <c r="I279" s="5"/>
      <c r="J279" s="5"/>
      <c r="K279" s="179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25">
      <c r="A280" s="188">
        <f>'Données projet'!A253</f>
        <v>0</v>
      </c>
      <c r="B280" s="189">
        <f>'Données projet'!D253</f>
        <v>0</v>
      </c>
      <c r="C280" s="202"/>
      <c r="D280" s="187">
        <f t="shared" si="14"/>
        <v>0</v>
      </c>
      <c r="E280" s="202"/>
      <c r="F280" s="259"/>
      <c r="G280" s="219"/>
      <c r="H280" s="5"/>
      <c r="I280" s="5"/>
      <c r="J280" s="5"/>
      <c r="K280" s="179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25">
      <c r="A281" s="188">
        <f>'Données projet'!A254</f>
        <v>0</v>
      </c>
      <c r="B281" s="189">
        <f>'Données projet'!D254</f>
        <v>0</v>
      </c>
      <c r="C281" s="202"/>
      <c r="D281" s="187">
        <f t="shared" si="14"/>
        <v>0</v>
      </c>
      <c r="E281" s="202"/>
      <c r="F281" s="259"/>
      <c r="G281" s="219"/>
      <c r="H281" s="5"/>
      <c r="I281" s="5"/>
      <c r="J281" s="5"/>
      <c r="K281" s="179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25">
      <c r="A282" s="188">
        <f>'Données projet'!A255</f>
        <v>0</v>
      </c>
      <c r="B282" s="189">
        <f>'Données projet'!D255</f>
        <v>0</v>
      </c>
      <c r="C282" s="202"/>
      <c r="D282" s="187">
        <f t="shared" si="14"/>
        <v>0</v>
      </c>
      <c r="E282" s="202"/>
      <c r="F282" s="259"/>
      <c r="G282" s="219"/>
      <c r="H282" s="5"/>
      <c r="I282" s="5"/>
      <c r="J282" s="5"/>
      <c r="K282" s="179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25">
      <c r="A283" s="188">
        <f>'Données projet'!A256</f>
        <v>0</v>
      </c>
      <c r="B283" s="189">
        <f>'Données projet'!D256</f>
        <v>0</v>
      </c>
      <c r="C283" s="202"/>
      <c r="D283" s="187">
        <f t="shared" si="14"/>
        <v>0</v>
      </c>
      <c r="E283" s="202"/>
      <c r="F283" s="259"/>
      <c r="G283" s="219"/>
      <c r="H283" s="5"/>
      <c r="I283" s="5"/>
      <c r="J283" s="5"/>
      <c r="K283" s="179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25">
      <c r="A284" s="188">
        <f>'Données projet'!A257</f>
        <v>0</v>
      </c>
      <c r="B284" s="189">
        <f>'Données projet'!D257</f>
        <v>0</v>
      </c>
      <c r="C284" s="202"/>
      <c r="D284" s="187">
        <f t="shared" si="14"/>
        <v>0</v>
      </c>
      <c r="E284" s="202"/>
      <c r="F284" s="259"/>
      <c r="G284" s="219"/>
      <c r="H284" s="5"/>
      <c r="I284" s="5"/>
      <c r="J284" s="5"/>
      <c r="K284" s="179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25">
      <c r="A285" s="188">
        <f>'Données projet'!A258</f>
        <v>0</v>
      </c>
      <c r="B285" s="189">
        <f>'Données projet'!D258</f>
        <v>0</v>
      </c>
      <c r="C285" s="202"/>
      <c r="D285" s="187">
        <f t="shared" si="14"/>
        <v>0</v>
      </c>
      <c r="E285" s="202"/>
      <c r="F285" s="259"/>
      <c r="G285" s="219"/>
      <c r="H285" s="5"/>
      <c r="I285" s="5"/>
      <c r="J285" s="5"/>
      <c r="K285" s="179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25">
      <c r="A286" s="188">
        <f>'Données projet'!A259</f>
        <v>0</v>
      </c>
      <c r="B286" s="189">
        <f>'Données projet'!D259</f>
        <v>0</v>
      </c>
      <c r="C286" s="202"/>
      <c r="D286" s="187">
        <f t="shared" si="14"/>
        <v>0</v>
      </c>
      <c r="E286" s="202"/>
      <c r="F286" s="259"/>
      <c r="G286" s="219"/>
      <c r="H286" s="5"/>
      <c r="I286" s="5"/>
      <c r="J286" s="5"/>
      <c r="K286" s="179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25">
      <c r="A287" s="188">
        <f>'Données projet'!A260</f>
        <v>0</v>
      </c>
      <c r="B287" s="189">
        <f>'Données projet'!D260</f>
        <v>0</v>
      </c>
      <c r="C287" s="202"/>
      <c r="D287" s="187">
        <f t="shared" si="14"/>
        <v>0</v>
      </c>
      <c r="E287" s="202"/>
      <c r="F287" s="259"/>
      <c r="G287" s="219"/>
      <c r="H287" s="5"/>
      <c r="I287" s="5"/>
      <c r="J287" s="5"/>
      <c r="K287" s="179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25">
      <c r="A288" s="188">
        <f>'Données projet'!A261</f>
        <v>0</v>
      </c>
      <c r="B288" s="189">
        <f>'Données projet'!D261</f>
        <v>0</v>
      </c>
      <c r="C288" s="202"/>
      <c r="D288" s="187">
        <f t="shared" si="14"/>
        <v>0</v>
      </c>
      <c r="E288" s="202"/>
      <c r="F288" s="259"/>
      <c r="G288" s="219"/>
      <c r="H288" s="5"/>
      <c r="I288" s="5"/>
      <c r="J288" s="5"/>
      <c r="K288" s="179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25">
      <c r="A289" s="188">
        <f>'Données projet'!A262</f>
        <v>0</v>
      </c>
      <c r="B289" s="189">
        <f>'Données projet'!D262</f>
        <v>0</v>
      </c>
      <c r="C289" s="202"/>
      <c r="D289" s="187">
        <f t="shared" si="14"/>
        <v>0</v>
      </c>
      <c r="E289" s="202"/>
      <c r="F289" s="259"/>
      <c r="G289" s="219"/>
      <c r="H289" s="5"/>
      <c r="I289" s="5"/>
      <c r="J289" s="5"/>
      <c r="K289" s="179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25">
      <c r="A290" s="188">
        <f>'Données projet'!A263</f>
        <v>0</v>
      </c>
      <c r="B290" s="189">
        <f>'Données projet'!D263</f>
        <v>0</v>
      </c>
      <c r="C290" s="202"/>
      <c r="D290" s="187">
        <f t="shared" si="14"/>
        <v>0</v>
      </c>
      <c r="E290" s="202"/>
      <c r="F290" s="259"/>
      <c r="G290" s="219"/>
      <c r="H290" s="5"/>
      <c r="I290" s="5"/>
      <c r="J290" s="5"/>
      <c r="K290" s="179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25">
      <c r="A291" s="5"/>
      <c r="B291" s="5"/>
      <c r="C291" s="5"/>
      <c r="D291" s="5"/>
      <c r="E291" s="5"/>
      <c r="F291" s="257"/>
      <c r="G291" s="219"/>
      <c r="H291" s="5"/>
      <c r="I291" s="5"/>
      <c r="J291" s="5"/>
      <c r="K291" s="179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25">
      <c r="A292" s="5"/>
      <c r="B292" s="5"/>
      <c r="C292" s="5"/>
      <c r="D292" s="5"/>
      <c r="E292" s="5"/>
      <c r="F292" s="257"/>
      <c r="G292" s="219"/>
      <c r="H292" s="5"/>
      <c r="I292" s="5"/>
      <c r="J292" s="5"/>
      <c r="K292" s="179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25">
      <c r="A293" s="49" t="s">
        <v>174</v>
      </c>
      <c r="B293" s="182" t="str">
        <f>IF('Données projet'!$B$18="","",'Données projet'!$B$18)</f>
        <v/>
      </c>
      <c r="C293" s="5"/>
      <c r="D293" s="5"/>
      <c r="E293" s="5"/>
      <c r="F293" s="257"/>
      <c r="G293" s="219"/>
      <c r="H293" s="5"/>
      <c r="I293" s="5"/>
      <c r="J293" s="5"/>
      <c r="K293" s="179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25">
      <c r="A294" s="49"/>
      <c r="B294" s="5"/>
      <c r="C294" s="5"/>
      <c r="D294" s="5"/>
      <c r="E294" s="5"/>
      <c r="F294" s="257"/>
      <c r="G294" s="219"/>
      <c r="H294" s="5"/>
      <c r="I294" s="5"/>
      <c r="J294" s="5"/>
      <c r="K294" s="179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25">
      <c r="A295" s="253" t="s">
        <v>180</v>
      </c>
      <c r="B295" s="51" t="s">
        <v>256</v>
      </c>
      <c r="C295" s="51" t="s">
        <v>255</v>
      </c>
      <c r="D295" s="253" t="s">
        <v>252</v>
      </c>
      <c r="E295" s="253" t="s">
        <v>320</v>
      </c>
      <c r="F295" s="258"/>
      <c r="G295" s="219"/>
      <c r="H295" s="5"/>
      <c r="I295" s="5"/>
      <c r="J295" s="5"/>
      <c r="K295" s="179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25">
      <c r="A296" s="206">
        <v>0</v>
      </c>
      <c r="B296" s="209" t="s">
        <v>132</v>
      </c>
      <c r="C296" s="208" t="s">
        <v>132</v>
      </c>
      <c r="D296" s="207" t="s">
        <v>132</v>
      </c>
      <c r="E296" s="202"/>
      <c r="F296" s="258"/>
      <c r="G296" s="219"/>
      <c r="H296" s="5"/>
      <c r="I296" s="5"/>
      <c r="J296" s="5"/>
      <c r="K296" s="179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25">
      <c r="A297" s="206">
        <v>1</v>
      </c>
      <c r="B297" s="209" t="s">
        <v>132</v>
      </c>
      <c r="C297" s="208" t="s">
        <v>132</v>
      </c>
      <c r="D297" s="207" t="s">
        <v>132</v>
      </c>
      <c r="E297" s="202"/>
      <c r="F297" s="258"/>
      <c r="G297" s="217"/>
      <c r="H297" s="5"/>
      <c r="I297" s="5"/>
      <c r="J297" s="5"/>
      <c r="K297" s="179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25">
      <c r="A298" s="206">
        <v>2</v>
      </c>
      <c r="B298" s="209" t="s">
        <v>132</v>
      </c>
      <c r="C298" s="208" t="s">
        <v>132</v>
      </c>
      <c r="D298" s="207" t="s">
        <v>132</v>
      </c>
      <c r="E298" s="202"/>
      <c r="F298" s="258"/>
      <c r="G298" s="217"/>
      <c r="H298" s="5"/>
      <c r="I298" s="5"/>
      <c r="J298" s="5"/>
      <c r="K298" s="179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25">
      <c r="A299" s="206">
        <v>3</v>
      </c>
      <c r="B299" s="209" t="s">
        <v>132</v>
      </c>
      <c r="C299" s="208" t="s">
        <v>132</v>
      </c>
      <c r="D299" s="207" t="s">
        <v>132</v>
      </c>
      <c r="E299" s="202"/>
      <c r="F299" s="258"/>
      <c r="G299" s="217"/>
      <c r="H299" s="5"/>
      <c r="I299" s="5"/>
      <c r="J299" s="5"/>
      <c r="K299" s="179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25">
      <c r="A300" s="206">
        <v>4</v>
      </c>
      <c r="B300" s="209" t="s">
        <v>132</v>
      </c>
      <c r="C300" s="208" t="s">
        <v>132</v>
      </c>
      <c r="D300" s="207" t="s">
        <v>132</v>
      </c>
      <c r="E300" s="202"/>
      <c r="F300" s="258"/>
      <c r="G300" s="217"/>
      <c r="H300" s="5"/>
      <c r="I300" s="5"/>
      <c r="J300" s="5"/>
      <c r="K300" s="179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25">
      <c r="A301" s="206">
        <v>5</v>
      </c>
      <c r="B301" s="209" t="s">
        <v>132</v>
      </c>
      <c r="C301" s="208" t="s">
        <v>132</v>
      </c>
      <c r="D301" s="207" t="s">
        <v>132</v>
      </c>
      <c r="E301" s="202"/>
      <c r="F301" s="258"/>
      <c r="G301" s="218"/>
      <c r="H301" s="5"/>
      <c r="I301" s="5"/>
      <c r="J301" s="5"/>
      <c r="K301" s="179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25">
      <c r="A302" s="188">
        <f>'Données projet'!A270</f>
        <v>0</v>
      </c>
      <c r="B302" s="189">
        <f>'Données projet'!D270</f>
        <v>0</v>
      </c>
      <c r="C302" s="200"/>
      <c r="D302" s="190">
        <f>B302*C302</f>
        <v>0</v>
      </c>
      <c r="E302" s="202"/>
      <c r="F302" s="260"/>
      <c r="G302" s="218"/>
      <c r="H302" s="5"/>
      <c r="I302" s="5"/>
      <c r="J302" s="5"/>
      <c r="K302" s="179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25">
      <c r="A303" s="188">
        <f>'Données projet'!A271</f>
        <v>0</v>
      </c>
      <c r="B303" s="189">
        <f>'Données projet'!D271</f>
        <v>0</v>
      </c>
      <c r="C303" s="200"/>
      <c r="D303" s="190">
        <f t="shared" ref="D303:D321" si="15">B303*C303</f>
        <v>0</v>
      </c>
      <c r="E303" s="202"/>
      <c r="F303" s="260"/>
      <c r="G303" s="218"/>
      <c r="H303" s="5"/>
      <c r="I303" s="5"/>
      <c r="J303" s="5"/>
      <c r="K303" s="179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25">
      <c r="A304" s="188">
        <f>'Données projet'!A272</f>
        <v>0</v>
      </c>
      <c r="B304" s="189">
        <f>'Données projet'!D272</f>
        <v>0</v>
      </c>
      <c r="C304" s="200"/>
      <c r="D304" s="190">
        <f t="shared" si="15"/>
        <v>0</v>
      </c>
      <c r="E304" s="202"/>
      <c r="F304" s="260"/>
      <c r="G304" s="218"/>
      <c r="H304" s="5"/>
      <c r="I304" s="5"/>
      <c r="J304" s="5"/>
      <c r="K304" s="179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25">
      <c r="A305" s="188">
        <f>'Données projet'!A273</f>
        <v>0</v>
      </c>
      <c r="B305" s="189">
        <f>'Données projet'!D273</f>
        <v>0</v>
      </c>
      <c r="C305" s="200"/>
      <c r="D305" s="190">
        <f t="shared" si="15"/>
        <v>0</v>
      </c>
      <c r="E305" s="202"/>
      <c r="F305" s="260"/>
      <c r="G305" s="218"/>
      <c r="H305" s="5"/>
      <c r="I305" s="5"/>
      <c r="J305" s="5"/>
      <c r="K305" s="179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25">
      <c r="A306" s="188">
        <f>'Données projet'!A274</f>
        <v>0</v>
      </c>
      <c r="B306" s="189">
        <f>'Données projet'!D274</f>
        <v>0</v>
      </c>
      <c r="C306" s="200"/>
      <c r="D306" s="190">
        <f t="shared" si="15"/>
        <v>0</v>
      </c>
      <c r="E306" s="202"/>
      <c r="F306" s="260"/>
      <c r="G306" s="218"/>
      <c r="H306" s="5"/>
      <c r="I306" s="5"/>
      <c r="J306" s="5"/>
      <c r="K306" s="179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25">
      <c r="A307" s="188">
        <f>'Données projet'!A275</f>
        <v>0</v>
      </c>
      <c r="B307" s="189">
        <f>'Données projet'!D275</f>
        <v>0</v>
      </c>
      <c r="C307" s="200"/>
      <c r="D307" s="190">
        <f t="shared" si="15"/>
        <v>0</v>
      </c>
      <c r="E307" s="202"/>
      <c r="F307" s="260"/>
      <c r="G307" s="218"/>
      <c r="H307" s="5"/>
      <c r="I307" s="5"/>
      <c r="J307" s="5"/>
      <c r="K307" s="179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25">
      <c r="A308" s="188">
        <f>'Données projet'!A276</f>
        <v>0</v>
      </c>
      <c r="B308" s="189">
        <f>'Données projet'!D276</f>
        <v>0</v>
      </c>
      <c r="C308" s="200"/>
      <c r="D308" s="190">
        <f t="shared" si="15"/>
        <v>0</v>
      </c>
      <c r="E308" s="202"/>
      <c r="F308" s="260"/>
      <c r="G308" s="214"/>
      <c r="H308" s="5"/>
      <c r="I308" s="5"/>
      <c r="J308" s="5"/>
      <c r="K308" s="179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25">
      <c r="A309" s="188">
        <f>'Données projet'!A277</f>
        <v>0</v>
      </c>
      <c r="B309" s="189">
        <f>'Données projet'!D277</f>
        <v>0</v>
      </c>
      <c r="C309" s="200"/>
      <c r="D309" s="190">
        <f t="shared" si="15"/>
        <v>0</v>
      </c>
      <c r="E309" s="202"/>
      <c r="F309" s="260"/>
      <c r="G309" s="214"/>
      <c r="H309" s="5"/>
      <c r="I309" s="5"/>
      <c r="J309" s="5"/>
      <c r="K309" s="179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25">
      <c r="A310" s="188">
        <f>'Données projet'!A278</f>
        <v>0</v>
      </c>
      <c r="B310" s="189">
        <f>'Données projet'!D278</f>
        <v>0</v>
      </c>
      <c r="C310" s="200"/>
      <c r="D310" s="190">
        <f t="shared" si="15"/>
        <v>0</v>
      </c>
      <c r="E310" s="202"/>
      <c r="F310" s="260"/>
      <c r="G310" s="214"/>
      <c r="H310" s="5"/>
      <c r="I310" s="5"/>
      <c r="J310" s="5"/>
      <c r="K310" s="179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25">
      <c r="A311" s="188">
        <f>'Données projet'!A279</f>
        <v>0</v>
      </c>
      <c r="B311" s="189">
        <f>'Données projet'!D279</f>
        <v>0</v>
      </c>
      <c r="C311" s="200"/>
      <c r="D311" s="190">
        <f t="shared" si="15"/>
        <v>0</v>
      </c>
      <c r="E311" s="202"/>
      <c r="F311" s="260"/>
      <c r="G311" s="214"/>
      <c r="H311" s="5"/>
      <c r="I311" s="5"/>
      <c r="J311" s="5"/>
      <c r="K311" s="179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25">
      <c r="A312" s="188">
        <f>'Données projet'!A280</f>
        <v>0</v>
      </c>
      <c r="B312" s="189">
        <f>'Données projet'!D280</f>
        <v>0</v>
      </c>
      <c r="C312" s="200"/>
      <c r="D312" s="190">
        <f t="shared" si="15"/>
        <v>0</v>
      </c>
      <c r="E312" s="202"/>
      <c r="F312" s="260"/>
      <c r="G312" s="214"/>
      <c r="H312" s="5"/>
      <c r="I312" s="5"/>
      <c r="J312" s="5"/>
      <c r="K312" s="179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25">
      <c r="A313" s="188">
        <f>'Données projet'!A281</f>
        <v>0</v>
      </c>
      <c r="B313" s="189">
        <f>'Données projet'!D281</f>
        <v>0</v>
      </c>
      <c r="C313" s="200"/>
      <c r="D313" s="190">
        <f t="shared" si="15"/>
        <v>0</v>
      </c>
      <c r="E313" s="202"/>
      <c r="F313" s="260"/>
      <c r="G313" s="214"/>
      <c r="H313" s="5"/>
      <c r="I313" s="5"/>
      <c r="J313" s="5"/>
      <c r="K313" s="179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25">
      <c r="A314" s="188">
        <f>'Données projet'!A282</f>
        <v>0</v>
      </c>
      <c r="B314" s="189">
        <f>'Données projet'!D282</f>
        <v>0</v>
      </c>
      <c r="C314" s="200"/>
      <c r="D314" s="190">
        <f t="shared" si="15"/>
        <v>0</v>
      </c>
      <c r="E314" s="202"/>
      <c r="F314" s="260"/>
      <c r="G314" s="214"/>
      <c r="H314" s="5"/>
      <c r="I314" s="5"/>
      <c r="J314" s="5"/>
      <c r="K314" s="179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25">
      <c r="A315" s="188">
        <f>'Données projet'!A283</f>
        <v>0</v>
      </c>
      <c r="B315" s="189">
        <f>'Données projet'!D283</f>
        <v>0</v>
      </c>
      <c r="C315" s="200"/>
      <c r="D315" s="190">
        <f t="shared" si="15"/>
        <v>0</v>
      </c>
      <c r="E315" s="202"/>
      <c r="F315" s="260"/>
      <c r="G315" s="214"/>
      <c r="H315" s="5"/>
      <c r="I315" s="5"/>
      <c r="J315" s="5"/>
      <c r="K315" s="179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25">
      <c r="A316" s="188">
        <f>'Données projet'!A284</f>
        <v>0</v>
      </c>
      <c r="B316" s="189">
        <f>'Données projet'!D284</f>
        <v>0</v>
      </c>
      <c r="C316" s="200"/>
      <c r="D316" s="190">
        <f t="shared" si="15"/>
        <v>0</v>
      </c>
      <c r="E316" s="202"/>
      <c r="F316" s="260"/>
      <c r="G316" s="214"/>
      <c r="H316" s="5"/>
      <c r="I316" s="5"/>
      <c r="J316" s="5"/>
      <c r="K316" s="179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25">
      <c r="A317" s="188">
        <f>'Données projet'!A285</f>
        <v>0</v>
      </c>
      <c r="B317" s="189">
        <f>'Données projet'!D285</f>
        <v>0</v>
      </c>
      <c r="C317" s="200"/>
      <c r="D317" s="190">
        <f t="shared" si="15"/>
        <v>0</v>
      </c>
      <c r="E317" s="202"/>
      <c r="F317" s="260"/>
      <c r="G317" s="214"/>
      <c r="H317" s="5"/>
      <c r="I317" s="5"/>
      <c r="J317" s="5"/>
      <c r="K317" s="179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25">
      <c r="A318" s="188">
        <f>'Données projet'!A286</f>
        <v>0</v>
      </c>
      <c r="B318" s="189">
        <f>'Données projet'!D286</f>
        <v>0</v>
      </c>
      <c r="C318" s="200"/>
      <c r="D318" s="190">
        <f t="shared" si="15"/>
        <v>0</v>
      </c>
      <c r="E318" s="202"/>
      <c r="F318" s="260"/>
      <c r="G318" s="214"/>
      <c r="H318" s="5"/>
      <c r="I318" s="5"/>
      <c r="J318" s="5"/>
      <c r="K318" s="179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25">
      <c r="A319" s="188">
        <f>'Données projet'!A287</f>
        <v>0</v>
      </c>
      <c r="B319" s="189">
        <f>'Données projet'!D287</f>
        <v>0</v>
      </c>
      <c r="C319" s="200"/>
      <c r="D319" s="190">
        <f t="shared" si="15"/>
        <v>0</v>
      </c>
      <c r="E319" s="202"/>
      <c r="F319" s="260"/>
      <c r="G319" s="214"/>
      <c r="H319" s="5"/>
      <c r="I319" s="5"/>
      <c r="J319" s="5"/>
      <c r="K319" s="179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25">
      <c r="A320" s="188">
        <f>'Données projet'!A288</f>
        <v>0</v>
      </c>
      <c r="B320" s="189">
        <f>'Données projet'!D288</f>
        <v>0</v>
      </c>
      <c r="C320" s="200"/>
      <c r="D320" s="190">
        <f t="shared" si="15"/>
        <v>0</v>
      </c>
      <c r="E320" s="202"/>
      <c r="F320" s="260"/>
      <c r="G320" s="214"/>
      <c r="H320" s="5"/>
      <c r="I320" s="5"/>
      <c r="J320" s="5"/>
      <c r="K320" s="179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25">
      <c r="A321" s="188">
        <f>'Données projet'!A289</f>
        <v>0</v>
      </c>
      <c r="B321" s="189">
        <f>'Données projet'!D289</f>
        <v>0</v>
      </c>
      <c r="C321" s="205"/>
      <c r="D321" s="190">
        <f t="shared" si="15"/>
        <v>0</v>
      </c>
      <c r="E321" s="202"/>
      <c r="F321" s="260"/>
      <c r="G321" s="214"/>
      <c r="H321" s="5"/>
      <c r="I321" s="5"/>
      <c r="J321" s="5"/>
      <c r="K321" s="179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25">
      <c r="G322" s="214"/>
      <c r="H322" s="5"/>
      <c r="I322" s="5"/>
      <c r="J322" s="5"/>
      <c r="K322" s="179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25">
      <c r="G323" s="214"/>
      <c r="H323" s="5"/>
      <c r="I323" s="5"/>
      <c r="J323" s="5"/>
      <c r="K323" s="179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25">
      <c r="G324" s="214"/>
      <c r="H324" s="5"/>
      <c r="I324" s="5"/>
      <c r="J324" s="5"/>
      <c r="K324" s="179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25">
      <c r="G325" s="214"/>
      <c r="H325" s="5"/>
      <c r="I325" s="5"/>
      <c r="J325" s="5"/>
      <c r="K325" s="179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25">
      <c r="G326" s="214"/>
      <c r="H326" s="5"/>
      <c r="I326" s="5"/>
      <c r="J326" s="5"/>
      <c r="K326" s="179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25">
      <c r="G327" s="214"/>
      <c r="H327" s="5"/>
      <c r="I327" s="5"/>
      <c r="J327" s="5"/>
      <c r="K327" s="179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25">
      <c r="A328" s="5"/>
      <c r="B328" s="5"/>
      <c r="C328" s="5"/>
      <c r="D328" s="5"/>
      <c r="E328" s="5"/>
      <c r="F328" s="227"/>
      <c r="G328" s="227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25">
      <c r="A329" s="5"/>
      <c r="B329" s="5"/>
      <c r="C329" s="5"/>
      <c r="D329" s="5"/>
      <c r="E329" s="5"/>
      <c r="F329" s="227"/>
      <c r="G329" s="227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25">
      <c r="A330" s="5"/>
      <c r="B330" s="5"/>
      <c r="C330" s="5"/>
      <c r="D330" s="5"/>
      <c r="E330" s="5"/>
      <c r="F330" s="227"/>
      <c r="G330" s="227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25">
      <c r="A331" s="5"/>
      <c r="B331" s="5"/>
      <c r="C331" s="5"/>
      <c r="D331" s="5"/>
      <c r="E331" s="5"/>
      <c r="F331" s="227"/>
      <c r="G331" s="227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25">
      <c r="A332" s="5"/>
      <c r="B332" s="5"/>
      <c r="C332" s="5"/>
      <c r="D332" s="5"/>
      <c r="E332" s="5"/>
      <c r="F332" s="227"/>
      <c r="G332" s="227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25">
      <c r="A333" s="5"/>
      <c r="B333" s="5"/>
      <c r="C333" s="5"/>
      <c r="D333" s="5"/>
      <c r="E333" s="5"/>
      <c r="F333" s="227"/>
      <c r="G333" s="227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25">
      <c r="A334" s="5"/>
      <c r="B334" s="5"/>
      <c r="C334" s="5"/>
      <c r="D334" s="5"/>
      <c r="E334" s="5"/>
      <c r="F334" s="227"/>
      <c r="G334" s="227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25">
      <c r="A335" s="5"/>
      <c r="B335" s="5"/>
      <c r="C335" s="5"/>
      <c r="D335" s="5"/>
      <c r="E335" s="5"/>
      <c r="F335" s="227"/>
      <c r="G335" s="227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25">
      <c r="A336" s="5"/>
      <c r="B336" s="5"/>
      <c r="C336" s="5"/>
      <c r="D336" s="5"/>
      <c r="E336" s="5"/>
      <c r="F336" s="227"/>
      <c r="G336" s="227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25">
      <c r="A337" s="5"/>
      <c r="B337" s="5"/>
      <c r="C337" s="5"/>
      <c r="D337" s="5"/>
      <c r="E337" s="5"/>
      <c r="F337" s="227"/>
      <c r="G337" s="227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25">
      <c r="A338" s="5"/>
      <c r="B338" s="5"/>
      <c r="C338" s="5"/>
      <c r="D338" s="5"/>
      <c r="E338" s="5"/>
      <c r="F338" s="227"/>
      <c r="G338" s="227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25">
      <c r="A339" s="5"/>
      <c r="B339" s="5"/>
      <c r="C339" s="5"/>
      <c r="D339" s="5"/>
      <c r="E339" s="5"/>
      <c r="F339" s="227"/>
      <c r="G339" s="227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25">
      <c r="A340" s="5"/>
      <c r="B340" s="5"/>
      <c r="C340" s="5"/>
      <c r="D340" s="5"/>
      <c r="E340" s="5"/>
      <c r="F340" s="227"/>
      <c r="G340" s="227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25">
      <c r="A341" s="5"/>
      <c r="B341" s="5"/>
      <c r="C341" s="5"/>
      <c r="D341" s="5"/>
      <c r="E341" s="5"/>
      <c r="F341" s="227"/>
      <c r="G341" s="227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25">
      <c r="A342" s="5"/>
      <c r="B342" s="5"/>
      <c r="C342" s="5"/>
      <c r="D342" s="5"/>
      <c r="E342" s="5"/>
      <c r="F342" s="227"/>
      <c r="G342" s="227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25">
      <c r="A343" s="5"/>
      <c r="B343" s="5"/>
      <c r="C343" s="5"/>
      <c r="D343" s="5"/>
      <c r="E343" s="5"/>
      <c r="F343" s="227"/>
      <c r="G343" s="227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25">
      <c r="A344" s="5"/>
      <c r="B344" s="5"/>
      <c r="C344" s="5"/>
      <c r="D344" s="5"/>
      <c r="E344" s="5"/>
      <c r="F344" s="227"/>
      <c r="G344" s="227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25">
      <c r="A345" s="5"/>
      <c r="B345" s="5"/>
      <c r="C345" s="5"/>
      <c r="D345" s="5"/>
      <c r="E345" s="5"/>
      <c r="F345" s="227"/>
      <c r="G345" s="227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25">
      <c r="A346" s="5"/>
      <c r="B346" s="5"/>
      <c r="C346" s="5"/>
      <c r="D346" s="5"/>
      <c r="E346" s="5"/>
      <c r="F346" s="227"/>
      <c r="G346" s="227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25">
      <c r="A347" s="5"/>
      <c r="B347" s="5"/>
      <c r="C347" s="5"/>
      <c r="D347" s="5"/>
      <c r="E347" s="5"/>
      <c r="F347" s="227"/>
      <c r="G347" s="227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25">
      <c r="A348" s="5"/>
      <c r="B348" s="5"/>
      <c r="C348" s="5"/>
      <c r="D348" s="5"/>
      <c r="E348" s="5"/>
      <c r="F348" s="227"/>
      <c r="G348" s="227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25">
      <c r="A349" s="5"/>
      <c r="B349" s="5"/>
      <c r="C349" s="5"/>
      <c r="D349" s="5"/>
      <c r="E349" s="5"/>
      <c r="F349" s="227"/>
      <c r="G349" s="227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25">
      <c r="A350" s="5"/>
      <c r="B350" s="5"/>
      <c r="C350" s="5"/>
      <c r="D350" s="5"/>
      <c r="E350" s="5"/>
      <c r="F350" s="227"/>
      <c r="G350" s="227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25">
      <c r="A351" s="5"/>
      <c r="B351" s="5"/>
      <c r="C351" s="5"/>
      <c r="D351" s="5"/>
      <c r="E351" s="5"/>
      <c r="F351" s="227"/>
      <c r="G351" s="227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25">
      <c r="A352" s="5"/>
      <c r="B352" s="5"/>
      <c r="C352" s="5"/>
      <c r="D352" s="5"/>
      <c r="E352" s="5"/>
      <c r="F352" s="227"/>
      <c r="G352" s="227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25">
      <c r="A353" s="5"/>
      <c r="B353" s="5"/>
      <c r="C353" s="5"/>
      <c r="D353" s="5"/>
      <c r="E353" s="5"/>
      <c r="F353" s="227"/>
      <c r="G353" s="227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25">
      <c r="A354" s="5"/>
      <c r="B354" s="5"/>
      <c r="C354" s="5"/>
      <c r="D354" s="5"/>
      <c r="E354" s="5"/>
      <c r="F354" s="227"/>
      <c r="G354" s="227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25">
      <c r="A355" s="5"/>
      <c r="B355" s="5"/>
      <c r="C355" s="5"/>
      <c r="D355" s="5"/>
      <c r="E355" s="5"/>
      <c r="F355" s="227"/>
      <c r="G355" s="227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25">
      <c r="A356" s="5"/>
      <c r="B356" s="5"/>
      <c r="C356" s="5"/>
      <c r="D356" s="5"/>
      <c r="E356" s="5"/>
      <c r="F356" s="227"/>
      <c r="G356" s="227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25">
      <c r="A357" s="5"/>
      <c r="B357" s="5"/>
      <c r="C357" s="5"/>
      <c r="D357" s="5"/>
      <c r="E357" s="5"/>
      <c r="F357" s="227"/>
      <c r="G357" s="227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25">
      <c r="A358" s="5"/>
      <c r="B358" s="5"/>
      <c r="C358" s="5"/>
      <c r="D358" s="5"/>
      <c r="E358" s="5"/>
      <c r="F358" s="227"/>
      <c r="G358" s="227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25">
      <c r="A359" s="5"/>
      <c r="B359" s="5"/>
      <c r="C359" s="5"/>
      <c r="D359" s="5"/>
      <c r="E359" s="5"/>
      <c r="F359" s="227"/>
      <c r="G359" s="227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25">
      <c r="A360" s="5"/>
      <c r="B360" s="5"/>
      <c r="C360" s="5"/>
      <c r="D360" s="5"/>
      <c r="E360" s="5"/>
      <c r="F360" s="227"/>
      <c r="G360" s="227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25">
      <c r="A361" s="5"/>
      <c r="B361" s="5"/>
      <c r="C361" s="5"/>
      <c r="D361" s="5"/>
      <c r="E361" s="5"/>
      <c r="F361" s="227"/>
      <c r="G361" s="227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25">
      <c r="A362" s="5"/>
      <c r="B362" s="5"/>
      <c r="C362" s="5"/>
      <c r="D362" s="5"/>
      <c r="E362" s="5"/>
      <c r="F362" s="227"/>
      <c r="G362" s="227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25">
      <c r="A363" s="5"/>
      <c r="B363" s="5"/>
      <c r="C363" s="5"/>
      <c r="D363" s="5"/>
      <c r="E363" s="5"/>
      <c r="F363" s="227"/>
      <c r="G363" s="227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25">
      <c r="A364" s="5"/>
      <c r="B364" s="5"/>
      <c r="C364" s="5"/>
      <c r="D364" s="5"/>
      <c r="E364" s="5"/>
      <c r="F364" s="227"/>
      <c r="G364" s="227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25">
      <c r="A365" s="5"/>
      <c r="B365" s="5"/>
      <c r="C365" s="5"/>
      <c r="D365" s="5"/>
      <c r="E365" s="5"/>
      <c r="F365" s="227"/>
      <c r="G365" s="227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25">
      <c r="A366" s="5"/>
      <c r="B366" s="5"/>
      <c r="C366" s="5"/>
      <c r="D366" s="5"/>
      <c r="E366" s="5"/>
      <c r="F366" s="227"/>
      <c r="G366" s="227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25">
      <c r="A367" s="5"/>
      <c r="B367" s="5"/>
      <c r="C367" s="5"/>
      <c r="D367" s="5"/>
      <c r="E367" s="5"/>
      <c r="F367" s="227"/>
      <c r="G367" s="227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25">
      <c r="A368" s="5"/>
      <c r="B368" s="5"/>
      <c r="C368" s="5"/>
      <c r="D368" s="5"/>
      <c r="E368" s="5"/>
      <c r="F368" s="227"/>
      <c r="G368" s="227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25">
      <c r="A369" s="5"/>
      <c r="B369" s="5"/>
      <c r="C369" s="5"/>
      <c r="D369" s="5"/>
      <c r="E369" s="5"/>
      <c r="F369" s="227"/>
      <c r="G369" s="227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25">
      <c r="A370" s="5"/>
      <c r="B370" s="5"/>
      <c r="C370" s="5"/>
      <c r="D370" s="5"/>
      <c r="E370" s="5"/>
      <c r="F370" s="227"/>
      <c r="G370" s="68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25">
      <c r="A371" s="5"/>
      <c r="B371" s="5"/>
      <c r="C371" s="5"/>
      <c r="D371" s="5"/>
      <c r="E371" s="5"/>
      <c r="F371" s="227"/>
      <c r="G371" s="68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25">
      <c r="A372" s="5"/>
      <c r="B372" s="5"/>
      <c r="C372" s="5"/>
      <c r="D372" s="5"/>
      <c r="E372" s="5"/>
      <c r="F372" s="227"/>
      <c r="G372" s="68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25">
      <c r="A373" s="5"/>
      <c r="B373" s="5"/>
      <c r="C373" s="5"/>
      <c r="D373" s="5"/>
      <c r="E373" s="5"/>
      <c r="F373" s="227"/>
      <c r="G373" s="68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25">
      <c r="A374" s="5"/>
      <c r="B374" s="5"/>
      <c r="C374" s="5"/>
      <c r="D374" s="5"/>
      <c r="E374" s="5"/>
      <c r="F374" s="227"/>
      <c r="G374" s="68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25">
      <c r="A375" s="5"/>
      <c r="B375" s="5"/>
      <c r="C375" s="5"/>
      <c r="D375" s="5"/>
      <c r="E375" s="5"/>
      <c r="F375" s="227"/>
      <c r="G375" s="68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25">
      <c r="A376" s="5"/>
      <c r="B376" s="5"/>
      <c r="C376" s="5"/>
      <c r="D376" s="5"/>
      <c r="E376" s="5"/>
      <c r="F376" s="227"/>
      <c r="G376" s="68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25">
      <c r="A377" s="5"/>
      <c r="B377" s="5"/>
      <c r="C377" s="5"/>
      <c r="D377" s="5"/>
      <c r="E377" s="5"/>
      <c r="F377" s="227"/>
      <c r="G377" s="68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25">
      <c r="A378" s="5"/>
      <c r="B378" s="5"/>
      <c r="C378" s="5"/>
      <c r="D378" s="5"/>
      <c r="E378" s="5"/>
      <c r="F378" s="227"/>
      <c r="G378" s="68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25">
      <c r="A379" s="5"/>
      <c r="B379" s="5"/>
      <c r="C379" s="5"/>
      <c r="D379" s="5"/>
      <c r="E379" s="5"/>
      <c r="F379" s="227"/>
      <c r="G379" s="68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25">
      <c r="A380" s="5"/>
      <c r="B380" s="5"/>
      <c r="C380" s="5"/>
      <c r="D380" s="5"/>
      <c r="E380" s="5"/>
      <c r="F380" s="227"/>
      <c r="G380" s="68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25">
      <c r="A381" s="5"/>
      <c r="B381" s="5"/>
      <c r="C381" s="5"/>
      <c r="D381" s="5"/>
      <c r="E381" s="5"/>
      <c r="F381" s="227"/>
      <c r="G381" s="68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25">
      <c r="A382" s="5"/>
      <c r="B382" s="5"/>
      <c r="C382" s="5"/>
      <c r="D382" s="5"/>
      <c r="E382" s="5"/>
      <c r="F382" s="227"/>
      <c r="G382" s="68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25">
      <c r="A383" s="5"/>
      <c r="B383" s="5"/>
      <c r="C383" s="5"/>
      <c r="D383" s="5"/>
      <c r="E383" s="5"/>
      <c r="F383" s="227"/>
      <c r="G383" s="68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25">
      <c r="A384" s="5"/>
      <c r="B384" s="5"/>
      <c r="C384" s="5"/>
      <c r="D384" s="5"/>
      <c r="E384" s="5"/>
      <c r="F384" s="227"/>
      <c r="G384" s="68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25">
      <c r="A385" s="5"/>
      <c r="B385" s="5"/>
      <c r="C385" s="5"/>
      <c r="D385" s="5"/>
      <c r="E385" s="5"/>
      <c r="F385" s="227"/>
      <c r="G385" s="68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25">
      <c r="A386" s="5"/>
      <c r="B386" s="5"/>
      <c r="C386" s="5"/>
      <c r="D386" s="5"/>
      <c r="E386" s="5"/>
      <c r="F386" s="227"/>
      <c r="G386" s="68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25">
      <c r="A387" s="5"/>
      <c r="B387" s="5"/>
      <c r="C387" s="5"/>
      <c r="D387" s="5"/>
      <c r="E387" s="5"/>
      <c r="F387" s="227"/>
      <c r="G387" s="68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25">
      <c r="A388" s="5"/>
      <c r="B388" s="5"/>
      <c r="C388" s="5"/>
      <c r="D388" s="5"/>
      <c r="E388" s="5"/>
      <c r="F388" s="227"/>
      <c r="G388" s="68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25">
      <c r="A389" s="5"/>
      <c r="B389" s="5"/>
      <c r="C389" s="5"/>
      <c r="D389" s="5"/>
      <c r="E389" s="5"/>
      <c r="F389" s="227"/>
      <c r="G389" s="68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25">
      <c r="A390" s="5"/>
      <c r="B390" s="5"/>
      <c r="C390" s="5"/>
      <c r="D390" s="5"/>
      <c r="E390" s="5"/>
      <c r="F390" s="227"/>
      <c r="G390" s="68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25">
      <c r="A391" s="5"/>
      <c r="B391" s="5"/>
      <c r="C391" s="5"/>
      <c r="D391" s="5"/>
      <c r="E391" s="5"/>
      <c r="F391" s="227"/>
      <c r="G391" s="68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25">
      <c r="A392" s="5"/>
      <c r="B392" s="5"/>
      <c r="C392" s="5"/>
      <c r="D392" s="5"/>
      <c r="E392" s="5"/>
      <c r="F392" s="227"/>
      <c r="G392" s="68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25">
      <c r="A393" s="5"/>
      <c r="B393" s="5"/>
      <c r="C393" s="5"/>
      <c r="D393" s="5"/>
      <c r="E393" s="5"/>
      <c r="F393" s="227"/>
      <c r="G393" s="68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25">
      <c r="A394" s="5"/>
      <c r="B394" s="5"/>
      <c r="C394" s="5"/>
      <c r="D394" s="5"/>
      <c r="E394" s="5"/>
      <c r="F394" s="227"/>
      <c r="G394" s="68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25">
      <c r="A395" s="5"/>
      <c r="B395" s="5"/>
      <c r="C395" s="5"/>
      <c r="D395" s="5"/>
      <c r="E395" s="5"/>
      <c r="F395" s="227"/>
      <c r="G395" s="68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25">
      <c r="A396" s="5"/>
      <c r="B396" s="5"/>
      <c r="C396" s="5"/>
      <c r="D396" s="5"/>
      <c r="E396" s="5"/>
      <c r="F396" s="68"/>
      <c r="G396" s="68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25">
      <c r="A397" s="5"/>
      <c r="B397" s="5"/>
      <c r="C397" s="5"/>
      <c r="D397" s="5"/>
      <c r="E397" s="5"/>
      <c r="F397" s="68"/>
      <c r="G397" s="68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25">
      <c r="A398" s="5"/>
      <c r="B398" s="5"/>
      <c r="C398" s="5"/>
      <c r="D398" s="5"/>
      <c r="E398" s="5"/>
      <c r="F398" s="68"/>
      <c r="G398" s="68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25">
      <c r="A399" s="5"/>
      <c r="B399" s="5"/>
      <c r="C399" s="5"/>
      <c r="D399" s="5"/>
      <c r="E399" s="5"/>
      <c r="F399" s="68"/>
      <c r="G399" s="68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25">
      <c r="A400" s="5"/>
      <c r="B400" s="5"/>
      <c r="C400" s="5"/>
      <c r="D400" s="5"/>
      <c r="E400" s="5"/>
      <c r="F400" s="68"/>
      <c r="G400" s="68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25">
      <c r="A401" s="5"/>
      <c r="B401" s="5"/>
      <c r="C401" s="5"/>
      <c r="D401" s="5"/>
      <c r="E401" s="5"/>
      <c r="F401" s="68"/>
      <c r="G401" s="68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25">
      <c r="A402" s="5"/>
      <c r="B402" s="5"/>
      <c r="C402" s="5"/>
      <c r="D402" s="5"/>
      <c r="E402" s="5"/>
      <c r="F402" s="68"/>
      <c r="G402" s="68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25">
      <c r="A403" s="5"/>
      <c r="B403" s="5"/>
      <c r="C403" s="5"/>
      <c r="D403" s="5"/>
      <c r="E403" s="5"/>
      <c r="F403" s="68"/>
      <c r="G403" s="68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25">
      <c r="A404" s="5"/>
      <c r="B404" s="5"/>
      <c r="C404" s="5"/>
      <c r="D404" s="5"/>
      <c r="E404" s="5"/>
      <c r="F404" s="68"/>
      <c r="G404" s="68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25">
      <c r="A405" s="5"/>
      <c r="B405" s="5"/>
      <c r="C405" s="5"/>
      <c r="D405" s="5"/>
      <c r="E405" s="5"/>
      <c r="F405" s="68"/>
      <c r="G405" s="68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25">
      <c r="A406" s="5"/>
      <c r="B406" s="5"/>
      <c r="C406" s="5"/>
      <c r="D406" s="5"/>
      <c r="E406" s="5"/>
      <c r="F406" s="68"/>
      <c r="G406" s="68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25">
      <c r="A407" s="5"/>
      <c r="B407" s="5"/>
      <c r="C407" s="5"/>
      <c r="D407" s="5"/>
      <c r="E407" s="5"/>
      <c r="F407" s="68"/>
      <c r="G407" s="68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25">
      <c r="A408" s="5"/>
      <c r="B408" s="5"/>
      <c r="C408" s="5"/>
      <c r="D408" s="5"/>
      <c r="E408" s="5"/>
      <c r="F408" s="68"/>
      <c r="G408" s="68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25">
      <c r="A409" s="5"/>
      <c r="B409" s="5"/>
      <c r="C409" s="5"/>
      <c r="D409" s="5"/>
      <c r="E409" s="5"/>
      <c r="F409" s="68"/>
      <c r="G409" s="68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25">
      <c r="A410" s="5"/>
      <c r="B410" s="5"/>
      <c r="C410" s="5"/>
      <c r="D410" s="5"/>
      <c r="E410" s="5"/>
      <c r="F410" s="68"/>
      <c r="G410" s="68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25">
      <c r="A411" s="5"/>
      <c r="B411" s="5"/>
      <c r="C411" s="5"/>
      <c r="D411" s="5"/>
      <c r="E411" s="5"/>
      <c r="F411" s="68"/>
      <c r="G411" s="68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25">
      <c r="A412" s="5"/>
      <c r="B412" s="5"/>
      <c r="C412" s="5"/>
      <c r="D412" s="5"/>
      <c r="E412" s="5"/>
      <c r="F412" s="68"/>
      <c r="G412" s="68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25">
      <c r="A413" s="5"/>
      <c r="B413" s="5"/>
      <c r="C413" s="5"/>
      <c r="D413" s="5"/>
      <c r="E413" s="5"/>
      <c r="F413" s="68"/>
      <c r="G413" s="68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25">
      <c r="A414" s="5"/>
      <c r="B414" s="5"/>
      <c r="C414" s="5"/>
      <c r="D414" s="5"/>
      <c r="E414" s="5"/>
      <c r="F414" s="68"/>
      <c r="G414" s="68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25">
      <c r="A415" s="5"/>
      <c r="B415" s="5"/>
      <c r="C415" s="5"/>
      <c r="D415" s="5"/>
      <c r="E415" s="5"/>
      <c r="F415" s="68"/>
      <c r="G415" s="68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25">
      <c r="A416" s="5"/>
      <c r="B416" s="5"/>
      <c r="C416" s="5"/>
      <c r="D416" s="5"/>
      <c r="E416" s="5"/>
      <c r="F416" s="68"/>
      <c r="G416" s="68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25">
      <c r="A417" s="5"/>
      <c r="B417" s="5"/>
      <c r="C417" s="5"/>
      <c r="D417" s="5"/>
      <c r="E417" s="5"/>
      <c r="F417" s="68"/>
      <c r="G417" s="68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25">
      <c r="A418" s="5"/>
      <c r="B418" s="5"/>
      <c r="C418" s="5"/>
      <c r="D418" s="5"/>
      <c r="E418" s="5"/>
      <c r="F418" s="68"/>
      <c r="G418" s="68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25">
      <c r="A419" s="5"/>
      <c r="B419" s="5"/>
      <c r="C419" s="5"/>
      <c r="D419" s="5"/>
      <c r="E419" s="5"/>
      <c r="F419" s="68"/>
      <c r="G419" s="68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25">
      <c r="A420" s="5"/>
      <c r="B420" s="5"/>
      <c r="C420" s="5"/>
      <c r="D420" s="5"/>
      <c r="E420" s="5"/>
      <c r="F420" s="68"/>
      <c r="G420" s="68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25">
      <c r="A421" s="5"/>
      <c r="B421" s="5"/>
      <c r="C421" s="5"/>
      <c r="D421" s="5"/>
      <c r="E421" s="5"/>
      <c r="F421" s="68"/>
      <c r="G421" s="68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25">
      <c r="A422" s="5"/>
      <c r="B422" s="5"/>
      <c r="C422" s="5"/>
      <c r="D422" s="5"/>
      <c r="E422" s="5"/>
      <c r="F422" s="68"/>
      <c r="G422" s="68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25">
      <c r="A423" s="5"/>
      <c r="B423" s="5"/>
      <c r="C423" s="5"/>
      <c r="D423" s="5"/>
      <c r="E423" s="5"/>
      <c r="F423" s="68"/>
      <c r="G423" s="68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25">
      <c r="A424" s="5"/>
      <c r="B424" s="5"/>
      <c r="C424" s="5"/>
      <c r="D424" s="5"/>
      <c r="E424" s="5"/>
      <c r="F424" s="68"/>
      <c r="G424" s="68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25">
      <c r="A425" s="5"/>
      <c r="B425" s="5"/>
      <c r="C425" s="5"/>
      <c r="D425" s="5"/>
      <c r="E425" s="5"/>
      <c r="F425" s="68"/>
      <c r="G425" s="68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25">
      <c r="A426" s="5"/>
      <c r="B426" s="5"/>
      <c r="C426" s="5"/>
      <c r="D426" s="5"/>
      <c r="E426" s="5"/>
      <c r="F426" s="68"/>
      <c r="G426" s="68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25">
      <c r="A427" s="5"/>
      <c r="B427" s="5"/>
      <c r="C427" s="5"/>
      <c r="D427" s="5"/>
      <c r="E427" s="5"/>
      <c r="F427" s="68"/>
      <c r="G427" s="68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25">
      <c r="A428" s="5"/>
      <c r="B428" s="5"/>
      <c r="C428" s="5"/>
      <c r="D428" s="5"/>
      <c r="E428" s="5"/>
      <c r="F428" s="68"/>
      <c r="G428" s="68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25">
      <c r="A429" s="5"/>
      <c r="B429" s="5"/>
      <c r="C429" s="5"/>
      <c r="D429" s="5"/>
      <c r="E429" s="5"/>
      <c r="F429" s="68"/>
      <c r="G429" s="68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25">
      <c r="A430" s="5"/>
      <c r="B430" s="5"/>
      <c r="C430" s="5"/>
      <c r="D430" s="5"/>
      <c r="E430" s="5"/>
      <c r="F430" s="68"/>
      <c r="G430" s="68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25">
      <c r="A431" s="5"/>
      <c r="B431" s="5"/>
      <c r="C431" s="5"/>
      <c r="D431" s="5"/>
      <c r="E431" s="5"/>
      <c r="F431" s="68"/>
      <c r="G431" s="68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25">
      <c r="A432" s="5"/>
      <c r="B432" s="5"/>
      <c r="C432" s="5"/>
      <c r="D432" s="5"/>
      <c r="E432" s="5"/>
      <c r="F432" s="68"/>
      <c r="G432" s="68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25">
      <c r="A433" s="5"/>
      <c r="B433" s="5"/>
      <c r="C433" s="5"/>
      <c r="D433" s="5"/>
      <c r="E433" s="5"/>
      <c r="F433" s="68"/>
      <c r="G433" s="68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25">
      <c r="A434" s="5"/>
      <c r="B434" s="5"/>
      <c r="C434" s="5"/>
      <c r="D434" s="5"/>
      <c r="E434" s="5"/>
      <c r="F434" s="68"/>
      <c r="G434" s="68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25">
      <c r="A435" s="5"/>
      <c r="B435" s="5"/>
      <c r="C435" s="5"/>
      <c r="D435" s="5"/>
      <c r="E435" s="5"/>
      <c r="F435" s="68"/>
      <c r="G435" s="68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25">
      <c r="A436" s="5"/>
      <c r="B436" s="5"/>
      <c r="C436" s="5"/>
      <c r="D436" s="5"/>
      <c r="E436" s="5"/>
      <c r="F436" s="68"/>
      <c r="G436" s="68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25">
      <c r="A437" s="5"/>
      <c r="B437" s="5"/>
      <c r="C437" s="5"/>
      <c r="D437" s="5"/>
      <c r="E437" s="5"/>
      <c r="F437" s="68"/>
      <c r="G437" s="68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25">
      <c r="A438" s="5"/>
      <c r="B438" s="5"/>
      <c r="C438" s="5"/>
      <c r="D438" s="5"/>
      <c r="E438" s="5"/>
      <c r="F438" s="68"/>
      <c r="G438" s="68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25">
      <c r="A439" s="5"/>
      <c r="B439" s="5"/>
      <c r="C439" s="5"/>
      <c r="D439" s="5"/>
      <c r="E439" s="5"/>
      <c r="F439" s="68"/>
      <c r="G439" s="68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25">
      <c r="A440" s="5"/>
      <c r="B440" s="5"/>
      <c r="C440" s="5"/>
      <c r="D440" s="5"/>
      <c r="E440" s="5"/>
      <c r="F440" s="68"/>
      <c r="G440" s="68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25">
      <c r="A441" s="5"/>
      <c r="B441" s="5"/>
      <c r="C441" s="5"/>
      <c r="D441" s="5"/>
      <c r="E441" s="5"/>
      <c r="F441" s="68"/>
      <c r="G441" s="68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25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25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25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25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25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25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25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25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25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25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25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25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25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25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25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25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25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25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25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25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25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25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25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25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25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25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25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25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25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25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25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25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25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25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25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25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25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25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25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25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25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25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25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25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25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25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25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25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25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25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25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25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25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25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25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25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25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25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25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25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25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25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25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25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25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25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25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25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25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25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25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25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25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25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25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25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25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25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25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25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25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25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25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25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25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25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25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25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25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25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25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25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25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25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25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25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25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25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25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25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25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25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25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25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25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25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25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25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25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25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25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OCCI_OG</cp:lastModifiedBy>
  <dcterms:created xsi:type="dcterms:W3CDTF">2021-02-01T08:22:39Z</dcterms:created>
  <dcterms:modified xsi:type="dcterms:W3CDTF">2022-10-19T08:46:39Z</dcterms:modified>
</cp:coreProperties>
</file>