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Quercy\SAINT VINCENT LESPINASSE (82) - SCI Petit Pinson\doc fin\"/>
    </mc:Choice>
  </mc:AlternateContent>
  <xr:revisionPtr revIDLastSave="0" documentId="13_ncr:1_{0DF4D7C0-7125-44A6-9501-A83EEAF9AF90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26" i="2" l="1" a="1"/>
  <c r="BC126" i="2" s="1"/>
  <c r="BC82" i="2" a="1"/>
  <c r="BC82" i="2" s="1"/>
  <c r="BC47" i="2" a="1"/>
  <c r="BC47" i="2" s="1"/>
  <c r="BC68" i="2" a="1"/>
  <c r="BC68" i="2" s="1"/>
  <c r="BX107" i="2" a="1"/>
  <c r="BX107" i="2" s="1"/>
  <c r="BC58" i="2" a="1"/>
  <c r="BC58" i="2" s="1"/>
  <c r="BC34" i="2" a="1"/>
  <c r="BC34" i="2" s="1"/>
  <c r="AH151" i="2" a="1"/>
  <c r="AH151" i="2" s="1"/>
  <c r="AH163" i="2" a="1"/>
  <c r="AH163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88" i="2" l="1"/>
  <c r="BI110" i="2"/>
  <c r="BI80" i="2"/>
  <c r="BI91" i="2"/>
  <c r="BI101" i="2"/>
  <c r="BI130" i="2"/>
  <c r="BI195" i="2"/>
  <c r="BI193" i="2"/>
  <c r="BI18" i="2"/>
  <c r="BI182" i="2"/>
  <c r="BI29" i="2"/>
  <c r="BI47" i="2"/>
  <c r="BI13" i="2"/>
  <c r="BI49" i="2"/>
  <c r="BI86" i="2"/>
  <c r="BI52" i="2"/>
  <c r="BI81" i="2"/>
  <c r="BI100" i="2"/>
  <c r="BI72" i="2"/>
  <c r="BI144" i="2"/>
  <c r="BI150" i="2"/>
  <c r="BI53" i="2"/>
  <c r="BI61" i="2"/>
  <c r="BI189" i="2"/>
  <c r="BI58" i="2"/>
  <c r="BI97" i="2"/>
  <c r="BI139" i="2"/>
  <c r="BI85" i="2"/>
  <c r="BI158" i="2"/>
  <c r="BI94" i="2"/>
  <c r="BI134" i="2"/>
  <c r="BI151" i="2"/>
  <c r="BI128" i="2"/>
  <c r="BI90" i="2"/>
  <c r="BI132" i="2"/>
  <c r="BI7" i="2"/>
  <c r="BI6" i="2"/>
  <c r="BI188" i="2"/>
  <c r="BI57" i="2"/>
  <c r="BI118" i="2"/>
  <c r="BI65" i="2"/>
  <c r="BI38" i="2"/>
  <c r="BI84" i="2"/>
  <c r="BI124" i="2"/>
  <c r="BI104" i="2"/>
  <c r="BI119" i="2"/>
  <c r="BI154" i="2"/>
  <c r="BI35" i="2"/>
  <c r="BI157" i="2"/>
  <c r="BI180" i="2"/>
  <c r="BI177" i="2"/>
  <c r="BI114" i="2"/>
  <c r="BI121" i="2"/>
  <c r="BI183" i="2"/>
  <c r="BI98" i="2"/>
  <c r="BI200" i="2"/>
  <c r="BI171" i="2"/>
  <c r="BI33" i="2"/>
  <c r="BI176" i="2"/>
  <c r="BI70" i="2"/>
  <c r="BI66" i="2"/>
  <c r="BI79" i="2"/>
  <c r="BI12" i="2"/>
  <c r="BI69" i="2"/>
  <c r="BI192" i="2"/>
  <c r="BI19" i="2"/>
  <c r="BI136" i="2"/>
  <c r="BI71" i="2"/>
  <c r="BI122" i="2"/>
  <c r="BI30" i="2"/>
  <c r="BI67" i="2"/>
  <c r="BI185" i="2"/>
  <c r="BI161" i="2"/>
  <c r="BI141" i="2"/>
  <c r="BI145" i="2"/>
  <c r="BI82" i="2"/>
  <c r="BI159" i="2"/>
  <c r="BI50" i="2"/>
  <c r="BI109" i="2"/>
  <c r="BI199" i="2"/>
  <c r="BI168" i="2"/>
  <c r="BI89" i="2"/>
  <c r="BI41" i="2"/>
  <c r="BI39" i="2"/>
  <c r="BI95" i="2"/>
  <c r="BI175" i="2"/>
  <c r="BI163" i="2"/>
  <c r="BI147" i="2"/>
  <c r="BI201" i="2"/>
  <c r="BI28" i="2"/>
  <c r="BI16" i="2"/>
  <c r="BI178" i="2"/>
  <c r="BI190" i="2"/>
  <c r="BI113" i="2"/>
  <c r="BI102" i="2"/>
  <c r="BI77" i="2"/>
  <c r="BI87" i="2"/>
  <c r="BI64" i="2"/>
  <c r="BI55" i="2"/>
  <c r="BI149" i="2"/>
  <c r="BI127" i="2"/>
  <c r="BI27" i="2"/>
  <c r="BI51" i="2"/>
  <c r="BI14" i="2"/>
  <c r="BI9" i="2"/>
  <c r="BI142" i="2"/>
  <c r="BI152" i="2"/>
  <c r="BI131" i="2"/>
  <c r="BI23" i="2"/>
  <c r="BI4" i="2"/>
  <c r="BI172" i="2"/>
  <c r="BI165" i="2"/>
  <c r="BI148" i="2"/>
  <c r="BI105" i="2"/>
  <c r="BI170" i="2"/>
  <c r="BI103" i="2"/>
  <c r="BI68" i="2"/>
  <c r="BI107" i="2"/>
  <c r="BI46" i="2"/>
  <c r="BI8" i="2"/>
  <c r="BI179" i="2"/>
  <c r="BI135" i="2"/>
  <c r="BI96" i="2"/>
  <c r="BI153" i="2"/>
  <c r="BI10" i="2"/>
  <c r="BI173" i="2"/>
  <c r="BI138" i="2"/>
  <c r="BI15" i="2"/>
  <c r="BI20" i="2"/>
  <c r="BI22" i="2"/>
  <c r="BI43" i="2"/>
  <c r="BI187" i="2"/>
  <c r="BI111" i="2"/>
  <c r="BI184" i="2"/>
  <c r="BI5" i="2"/>
  <c r="BI186" i="2"/>
  <c r="BI129" i="2"/>
  <c r="BI164" i="2"/>
  <c r="BI83" i="2"/>
  <c r="BI76" i="2"/>
  <c r="BI166" i="2"/>
  <c r="BI155" i="2"/>
  <c r="BI123" i="2"/>
  <c r="BI24" i="2"/>
  <c r="BI32" i="2"/>
  <c r="BI78" i="2"/>
  <c r="BI74" i="2"/>
  <c r="BI115" i="2"/>
  <c r="BI34" i="2"/>
  <c r="BI17" i="2"/>
  <c r="BI162" i="2"/>
  <c r="BI203" i="2"/>
  <c r="BI63" i="2"/>
  <c r="BI54" i="2"/>
  <c r="BI117" i="2"/>
  <c r="BI93" i="2"/>
  <c r="BI198" i="2"/>
  <c r="BI191" i="2"/>
  <c r="BI48" i="2"/>
  <c r="BI140" i="2"/>
  <c r="BI133" i="2"/>
  <c r="BI99" i="2"/>
  <c r="BI25" i="2"/>
  <c r="BI143" i="2"/>
  <c r="BI73" i="2"/>
  <c r="BI40" i="2"/>
  <c r="BI59" i="2"/>
  <c r="BI120" i="2"/>
  <c r="BI11" i="2"/>
  <c r="BI174" i="2"/>
  <c r="BI160" i="2"/>
  <c r="BI42" i="2"/>
  <c r="BI21" i="2"/>
  <c r="BI146" i="2"/>
  <c r="BI116" i="2"/>
  <c r="BI106" i="2"/>
  <c r="BI112" i="2"/>
  <c r="BI125" i="2"/>
  <c r="BI156" i="2"/>
  <c r="BI3" i="2"/>
  <c r="C8" i="4" s="1"/>
  <c r="E8" i="4" s="1"/>
  <c r="F8" i="4" s="1"/>
  <c r="G8" i="4" s="1"/>
  <c r="L8" i="4" s="1"/>
  <c r="BI45" i="2"/>
  <c r="BI202" i="2"/>
  <c r="BI26" i="2"/>
  <c r="BI44" i="2"/>
  <c r="BI196" i="2"/>
  <c r="BI62" i="2"/>
  <c r="BI92" i="2"/>
  <c r="BI181" i="2"/>
  <c r="BI137" i="2"/>
  <c r="BI108" i="2"/>
  <c r="BI37" i="2"/>
  <c r="BI194" i="2"/>
  <c r="BI36" i="2"/>
  <c r="BI169" i="2"/>
  <c r="BI31" i="2"/>
  <c r="BI197" i="2"/>
  <c r="BI60" i="2"/>
  <c r="BI167" i="2"/>
  <c r="BI75" i="2"/>
  <c r="BI126" i="2"/>
  <c r="BI56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<sst xmlns="http://schemas.openxmlformats.org/spreadsheetml/2006/main" count="1173" uniqueCount="324">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</sst>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4.1928698140991418</c:v>
                </c:pt>
                <c:pt idx="2">
                  <c:v>7.6168365307333579</c:v>
                </c:pt>
                <c:pt idx="3">
                  <c:v>13.851557944382177</c:v>
                </c:pt>
                <c:pt idx="4">
                  <c:v>25.215582848202938</c:v>
                </c:pt>
                <c:pt idx="5">
                  <c:v>45.948466940528562</c:v>
                </c:pt>
                <c:pt idx="6">
                  <c:v>58.88887876919231</c:v>
                </c:pt>
                <c:pt idx="7">
                  <c:v>75.762576017329408</c:v>
                </c:pt>
                <c:pt idx="8">
                  <c:v>92.540042131168903</c:v>
                </c:pt>
                <c:pt idx="9">
                  <c:v>109.24128540474889</c:v>
                </c:pt>
                <c:pt idx="10">
                  <c:v>125.87964006712114</c:v>
                </c:pt>
                <c:pt idx="11">
                  <c:v>112.81157172284342</c:v>
                </c:pt>
                <c:pt idx="12">
                  <c:v>129.43778416851515</c:v>
                </c:pt>
                <c:pt idx="13">
                  <c:v>146.0122974801705</c:v>
                </c:pt>
                <c:pt idx="14">
                  <c:v>162.54181354343527</c:v>
                </c:pt>
                <c:pt idx="15">
                  <c:v>179.03155609796639</c:v>
                </c:pt>
                <c:pt idx="16">
                  <c:v>168.4353371188482</c:v>
                </c:pt>
                <c:pt idx="17">
                  <c:v>183.34426585713663</c:v>
                </c:pt>
                <c:pt idx="18">
                  <c:v>198.22485329351457</c:v>
                </c:pt>
                <c:pt idx="19">
                  <c:v>213.07952740360659</c:v>
                </c:pt>
                <c:pt idx="20">
                  <c:v>227.91034965501248</c:v>
                </c:pt>
                <c:pt idx="21">
                  <c:v>220.88807818771124</c:v>
                </c:pt>
                <c:pt idx="22">
                  <c:v>233.36868457739766</c:v>
                </c:pt>
                <c:pt idx="23">
                  <c:v>245.8340553722112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3.0269032518129322</c:v>
                </c:pt>
                <c:pt idx="2">
                  <c:v>3.4510915733616798</c:v>
                </c:pt>
                <c:pt idx="3">
                  <c:v>3.9349355306541596</c:v>
                </c:pt>
                <c:pt idx="4">
                  <c:v>4.4868526974752925</c:v>
                </c:pt>
                <c:pt idx="5">
                  <c:v>5.1164520855825444</c:v>
                </c:pt>
                <c:pt idx="6">
                  <c:v>5.8347032704148916</c:v>
                </c:pt>
                <c:pt idx="7">
                  <c:v>6.6541295884695044</c:v>
                </c:pt>
                <c:pt idx="8">
                  <c:v>7.5890288408760744</c:v>
                </c:pt>
                <c:pt idx="9">
                  <c:v>8.6557254288350673</c:v>
                </c:pt>
                <c:pt idx="10">
                  <c:v>9.8728584080982102</c:v>
                </c:pt>
                <c:pt idx="11">
                  <c:v>11.26171059166041</c:v>
                </c:pt>
                <c:pt idx="12">
                  <c:v>12.846584563857478</c:v>
                </c:pt>
                <c:pt idx="13">
                  <c:v>14.655232308341526</c:v>
                </c:pt>
                <c:pt idx="14">
                  <c:v>16.719346112054513</c:v>
                </c:pt>
                <c:pt idx="15">
                  <c:v>19.075119504634994</c:v>
                </c:pt>
                <c:pt idx="16">
                  <c:v>21.763888247456226</c:v>
                </c:pt>
                <c:pt idx="17">
                  <c:v>24.832862821336619</c:v>
                </c:pt>
                <c:pt idx="18">
                  <c:v>28.335965502773913</c:v>
                </c:pt>
                <c:pt idx="19">
                  <c:v>32.334786994948594</c:v>
                </c:pt>
                <c:pt idx="20">
                  <c:v>36.899679725600237</c:v>
                </c:pt>
                <c:pt idx="21">
                  <c:v>42.111007377963539</c:v>
                </c:pt>
                <c:pt idx="22">
                  <c:v>48.060573027602352</c:v>
                </c:pt>
                <c:pt idx="23">
                  <c:v>54.853251467934228</c:v>
                </c:pt>
                <c:pt idx="24">
                  <c:v>62.608854978537124</c:v>
                </c:pt>
                <c:pt idx="25">
                  <c:v>71.464265989385623</c:v>
                </c:pt>
                <c:pt idx="26">
                  <c:v>82.563719294623567</c:v>
                </c:pt>
                <c:pt idx="27">
                  <c:v>93.625433553908593</c:v>
                </c:pt>
                <c:pt idx="28">
                  <c:v>104.65450643928448</c:v>
                </c:pt>
                <c:pt idx="29">
                  <c:v>115.65486902185846</c:v>
                </c:pt>
                <c:pt idx="30">
                  <c:v>126.62964106249451</c:v>
                </c:pt>
                <c:pt idx="31">
                  <c:v>138.03720928084971</c:v>
                </c:pt>
                <c:pt idx="32">
                  <c:v>149.42211714009736</c:v>
                </c:pt>
                <c:pt idx="33">
                  <c:v>160.78633625957769</c:v>
                </c:pt>
                <c:pt idx="34">
                  <c:v>172.13153631847419</c:v>
                </c:pt>
                <c:pt idx="35">
                  <c:v>183.4591485952582</c:v>
                </c:pt>
                <c:pt idx="36">
                  <c:v>166.23431277944658</c:v>
                </c:pt>
                <c:pt idx="37">
                  <c:v>178.47708262774123</c:v>
                </c:pt>
                <c:pt idx="38">
                  <c:v>190.70016980298033</c:v>
                </c:pt>
                <c:pt idx="39">
                  <c:v>202.90501446945498</c:v>
                </c:pt>
                <c:pt idx="40">
                  <c:v>215.09286920303433</c:v>
                </c:pt>
                <c:pt idx="41">
                  <c:v>196.1267190058785</c:v>
                </c:pt>
                <c:pt idx="42">
                  <c:v>208.77529065102974</c:v>
                </c:pt>
                <c:pt idx="43">
                  <c:v>221.40617734460454</c:v>
                </c:pt>
                <c:pt idx="44">
                  <c:v>234.02053062563991</c:v>
                </c:pt>
                <c:pt idx="45">
                  <c:v>246.61936765788826</c:v>
                </c:pt>
                <c:pt idx="46">
                  <c:v>227.71535422111776</c:v>
                </c:pt>
                <c:pt idx="47">
                  <c:v>240.32182971689394</c:v>
                </c:pt>
                <c:pt idx="48">
                  <c:v>252.91325418581553</c:v>
                </c:pt>
                <c:pt idx="49">
                  <c:v>265.49048283078872</c:v>
                </c:pt>
                <c:pt idx="50">
                  <c:v>278.05428316466646</c:v>
                </c:pt>
                <c:pt idx="51">
                  <c:v>259.20359312218585</c:v>
                </c:pt>
                <c:pt idx="52">
                  <c:v>271.77401662995698</c:v>
                </c:pt>
                <c:pt idx="53">
                  <c:v>284.33136674322265</c:v>
                </c:pt>
                <c:pt idx="54">
                  <c:v>296.87630238617851</c:v>
                </c:pt>
                <c:pt idx="55">
                  <c:v>309.4094222256216</c:v>
                </c:pt>
                <c:pt idx="56">
                  <c:v>290.1573073928044</c:v>
                </c:pt>
                <c:pt idx="57">
                  <c:v>302.24905332123103</c:v>
                </c:pt>
                <c:pt idx="58">
                  <c:v>314.33003588734283</c:v>
                </c:pt>
                <c:pt idx="59">
                  <c:v>326.40072719926627</c:v>
                </c:pt>
                <c:pt idx="60">
                  <c:v>338.46156158408763</c:v>
                </c:pt>
                <c:pt idx="61">
                  <c:v>319.24894183323727</c:v>
                </c:pt>
                <c:pt idx="62">
                  <c:v>331.31556691700854</c:v>
                </c:pt>
                <c:pt idx="63">
                  <c:v>343.37250219975095</c:v>
                </c:pt>
                <c:pt idx="64">
                  <c:v>355.42013595735619</c:v>
                </c:pt>
                <c:pt idx="65">
                  <c:v>367.45882798761664</c:v>
                </c:pt>
                <c:pt idx="66">
                  <c:v>347.38939529838694</c:v>
                </c:pt>
                <c:pt idx="67">
                  <c:v>358.54212303817758</c:v>
                </c:pt>
                <c:pt idx="68">
                  <c:v>369.68726124979747</c:v>
                </c:pt>
                <c:pt idx="69">
                  <c:v>380.82507105894382</c:v>
                </c:pt>
                <c:pt idx="70">
                  <c:v>391.9557970663318</c:v>
                </c:pt>
                <c:pt idx="71">
                  <c:v>371.91540142867387</c:v>
                </c:pt>
                <c:pt idx="72">
                  <c:v>383.0517754107122</c:v>
                </c:pt>
                <c:pt idx="73">
                  <c:v>394.18111266295523</c:v>
                </c:pt>
                <c:pt idx="74">
                  <c:v>405.30363991428743</c:v>
                </c:pt>
                <c:pt idx="75">
                  <c:v>416.41957043134624</c:v>
                </c:pt>
                <c:pt idx="76">
                  <c:v>395.51617117728159</c:v>
                </c:pt>
                <c:pt idx="77">
                  <c:v>405.74840241601078</c:v>
                </c:pt>
                <c:pt idx="78">
                  <c:v>415.97505730912513</c:v>
                </c:pt>
                <c:pt idx="79">
                  <c:v>426.1962923183093</c:v>
                </c:pt>
                <c:pt idx="80">
                  <c:v>436.41225578619895</c:v>
                </c:pt>
                <c:pt idx="81">
                  <c:v>411.97397670838626</c:v>
                </c:pt>
                <c:pt idx="82">
                  <c:v>418.64198281510266</c:v>
                </c:pt>
                <c:pt idx="83">
                  <c:v>425.30770062156671</c:v>
                </c:pt>
                <c:pt idx="84">
                  <c:v>431.97117107689905</c:v>
                </c:pt>
                <c:pt idx="85">
                  <c:v>438.63243376291729</c:v>
                </c:pt>
                <c:pt idx="86">
                  <c:v>419.9753081097985</c:v>
                </c:pt>
                <c:pt idx="87">
                  <c:v>432.41532351185759</c:v>
                </c:pt>
                <c:pt idx="88">
                  <c:v>444.84765415992865</c:v>
                </c:pt>
                <c:pt idx="89">
                  <c:v>457.27254508580148</c:v>
                </c:pt>
                <c:pt idx="90">
                  <c:v>469.69022691951312</c:v>
                </c:pt>
                <c:pt idx="91">
                  <c:v>447.06692349854637</c:v>
                </c:pt>
                <c:pt idx="92">
                  <c:v>455.49800727179553</c:v>
                </c:pt>
                <c:pt idx="93">
                  <c:v>463.92575704181422</c:v>
                </c:pt>
                <c:pt idx="94">
                  <c:v>472.35024193902177</c:v>
                </c:pt>
                <c:pt idx="95">
                  <c:v>480.77152842586815</c:v>
                </c:pt>
                <c:pt idx="96">
                  <c:v>457.27254508580171</c:v>
                </c:pt>
                <c:pt idx="97">
                  <c:v>464.81269749872439</c:v>
                </c:pt>
                <c:pt idx="98">
                  <c:v>472.35024193902177</c:v>
                </c:pt>
                <c:pt idx="99">
                  <c:v>479.88522591256037</c:v>
                </c:pt>
                <c:pt idx="100">
                  <c:v>487.41769531100323</c:v>
                </c:pt>
                <c:pt idx="101">
                  <c:v>465.25615418679718</c:v>
                </c:pt>
                <c:pt idx="102">
                  <c:v>471.90692830623647</c:v>
                </c:pt>
                <c:pt idx="103">
                  <c:v>478.55570686574453</c:v>
                </c:pt>
                <c:pt idx="104">
                  <c:v>485.20252151676613</c:v>
                </c:pt>
                <c:pt idx="105">
                  <c:v>491.84740297234742</c:v>
                </c:pt>
                <c:pt idx="106">
                  <c:v>469.69022691951341</c:v>
                </c:pt>
                <c:pt idx="107">
                  <c:v>476.3396671012876</c:v>
                </c:pt>
                <c:pt idx="108">
                  <c:v>482.98713293042402</c:v>
                </c:pt>
                <c:pt idx="109">
                  <c:v>489.63265542816231</c:v>
                </c:pt>
                <c:pt idx="110">
                  <c:v>496.27626470453976</c:v>
                </c:pt>
                <c:pt idx="111">
                  <c:v>474.12340797215148</c:v>
                </c:pt>
                <c:pt idx="112">
                  <c:v>480.77152842586815</c:v>
                </c:pt>
                <c:pt idx="113">
                  <c:v>487.41769531100323</c:v>
                </c:pt>
                <c:pt idx="114">
                  <c:v>494.06193903689768</c:v>
                </c:pt>
                <c:pt idx="115">
                  <c:v>500.70428912785314</c:v>
                </c:pt>
                <c:pt idx="116">
                  <c:v>477.66931720920002</c:v>
                </c:pt>
                <c:pt idx="117">
                  <c:v>483.43022788495318</c:v>
                </c:pt>
                <c:pt idx="118">
                  <c:v>489.18968044574376</c:v>
                </c:pt>
                <c:pt idx="119">
                  <c:v>494.94769449130382</c:v>
                </c:pt>
                <c:pt idx="120">
                  <c:v>500.70428912785314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2.7937677090506927</c:v>
                </c:pt>
                <c:pt idx="2">
                  <c:v>3.494630676602434</c:v>
                </c:pt>
                <c:pt idx="3">
                  <c:v>4.3719965840625639</c:v>
                </c:pt>
                <c:pt idx="4">
                  <c:v>5.4704766677833838</c:v>
                </c:pt>
                <c:pt idx="5">
                  <c:v>6.8459958247924684</c:v>
                </c:pt>
                <c:pt idx="6">
                  <c:v>8.5686708048285141</c:v>
                </c:pt>
                <c:pt idx="7">
                  <c:v>10.726422722638716</c:v>
                </c:pt>
                <c:pt idx="8">
                  <c:v>13.429511733043208</c:v>
                </c:pt>
                <c:pt idx="9">
                  <c:v>16.81622987742189</c:v>
                </c:pt>
                <c:pt idx="10">
                  <c:v>21.060048653888444</c:v>
                </c:pt>
                <c:pt idx="11">
                  <c:v>26.378593971397137</c:v>
                </c:pt>
                <c:pt idx="12">
                  <c:v>33.044916829290678</c:v>
                </c:pt>
                <c:pt idx="13">
                  <c:v>41.401648361600742</c:v>
                </c:pt>
                <c:pt idx="14">
                  <c:v>51.87877914465313</c:v>
                </c:pt>
                <c:pt idx="15">
                  <c:v>65.015992870184718</c:v>
                </c:pt>
                <c:pt idx="16">
                  <c:v>81.490723678847203</c:v>
                </c:pt>
                <c:pt idx="17">
                  <c:v>102.15340727004774</c:v>
                </c:pt>
                <c:pt idx="18">
                  <c:v>128.07177425900235</c:v>
                </c:pt>
                <c:pt idx="19">
                  <c:v>160.58651015726517</c:v>
                </c:pt>
                <c:pt idx="20">
                  <c:v>201.38120500067484</c:v>
                </c:pt>
                <c:pt idx="21">
                  <c:v>160.8744598001081</c:v>
                </c:pt>
                <c:pt idx="22">
                  <c:v>180.96513721023075</c:v>
                </c:pt>
                <c:pt idx="23">
                  <c:v>201.00358266422018</c:v>
                </c:pt>
                <c:pt idx="24">
                  <c:v>220.99573745004466</c:v>
                </c:pt>
                <c:pt idx="25">
                  <c:v>240.94637860003544</c:v>
                </c:pt>
                <c:pt idx="26">
                  <c:v>201.38120500067475</c:v>
                </c:pt>
                <c:pt idx="27">
                  <c:v>220.24209728386404</c:v>
                </c:pt>
                <c:pt idx="28">
                  <c:v>239.06590436046736</c:v>
                </c:pt>
                <c:pt idx="29">
                  <c:v>257.85595699105767</c:v>
                </c:pt>
                <c:pt idx="30">
                  <c:v>276.61506059958816</c:v>
                </c:pt>
                <c:pt idx="31">
                  <c:v>235.6801991417741</c:v>
                </c:pt>
                <c:pt idx="32">
                  <c:v>252.97362594481319</c:v>
                </c:pt>
                <c:pt idx="33">
                  <c:v>270.24028170556272</c:v>
                </c:pt>
                <c:pt idx="34">
                  <c:v>287.48211750444796</c:v>
                </c:pt>
                <c:pt idx="35">
                  <c:v>304.70083122716056</c:v>
                </c:pt>
                <c:pt idx="36">
                  <c:v>263.86211541012477</c:v>
                </c:pt>
                <c:pt idx="37">
                  <c:v>279.23900597474034</c:v>
                </c:pt>
                <c:pt idx="38">
                  <c:v>294.59690838804539</c:v>
                </c:pt>
                <c:pt idx="39">
                  <c:v>309.93695192564923</c:v>
                </c:pt>
                <c:pt idx="40">
                  <c:v>325.26014493454295</c:v>
                </c:pt>
                <c:pt idx="41">
                  <c:v>287.107546598586</c:v>
                </c:pt>
                <c:pt idx="42">
                  <c:v>301.33369868276117</c:v>
                </c:pt>
                <c:pt idx="43">
                  <c:v>315.5449029690518</c:v>
                </c:pt>
                <c:pt idx="44">
                  <c:v>329.74192753151533</c:v>
                </c:pt>
                <c:pt idx="45">
                  <c:v>343.92546889640693</c:v>
                </c:pt>
                <c:pt idx="46">
                  <c:v>307.6931428899108</c:v>
                </c:pt>
                <c:pt idx="47">
                  <c:v>320.02967142824974</c:v>
                </c:pt>
                <c:pt idx="48">
                  <c:v>332.35567865620197</c:v>
                </c:pt>
                <c:pt idx="49">
                  <c:v>344.67160985755453</c:v>
                </c:pt>
                <c:pt idx="50">
                  <c:v>356.97787588797092</c:v>
                </c:pt>
                <c:pt idx="51">
                  <c:v>323.76591506204585</c:v>
                </c:pt>
                <c:pt idx="52">
                  <c:v>335.34226803283201</c:v>
                </c:pt>
                <c:pt idx="53">
                  <c:v>346.90982014061501</c:v>
                </c:pt>
                <c:pt idx="54">
                  <c:v>358.46890629665069</c:v>
                </c:pt>
                <c:pt idx="55">
                  <c:v>370.01983804377818</c:v>
                </c:pt>
                <c:pt idx="56">
                  <c:v>340.56739298972877</c:v>
                </c:pt>
                <c:pt idx="57">
                  <c:v>350.266541780946</c:v>
                </c:pt>
                <c:pt idx="58">
                  <c:v>359.95980096859495</c:v>
                </c:pt>
                <c:pt idx="59">
                  <c:v>369.64735159591118</c:v>
                </c:pt>
                <c:pt idx="60">
                  <c:v>379.32936443758189</c:v>
                </c:pt>
                <c:pt idx="61">
                  <c:v>352.50396372745234</c:v>
                </c:pt>
                <c:pt idx="62">
                  <c:v>361.07788328211944</c:v>
                </c:pt>
                <c:pt idx="63">
                  <c:v>369.64735159591118</c:v>
                </c:pt>
                <c:pt idx="64">
                  <c:v>378.21248648031298</c:v>
                </c:pt>
                <c:pt idx="65">
                  <c:v>386.77339997206644</c:v>
                </c:pt>
                <c:pt idx="66">
                  <c:v>362.56854195764731</c:v>
                </c:pt>
                <c:pt idx="67">
                  <c:v>370.01983804377795</c:v>
                </c:pt>
                <c:pt idx="68">
                  <c:v>377.46786129485963</c:v>
                </c:pt>
                <c:pt idx="69">
                  <c:v>384.91268544829768</c:v>
                </c:pt>
                <c:pt idx="70">
                  <c:v>392.35438115419657</c:v>
                </c:pt>
                <c:pt idx="71">
                  <c:v>371.13724833655573</c:v>
                </c:pt>
                <c:pt idx="72">
                  <c:v>377.84017788163356</c:v>
                </c:pt>
                <c:pt idx="73">
                  <c:v>384.54051911648162</c:v>
                </c:pt>
                <c:pt idx="74">
                  <c:v>391.23832354179768</c:v>
                </c:pt>
                <c:pt idx="75">
                  <c:v>397.9336407495843</c:v>
                </c:pt>
                <c:pt idx="76">
                  <c:v>379.32936443758177</c:v>
                </c:pt>
                <c:pt idx="77">
                  <c:v>384.91268544829762</c:v>
                </c:pt>
                <c:pt idx="78">
                  <c:v>390.49424676672407</c:v>
                </c:pt>
                <c:pt idx="79">
                  <c:v>396.07407711953414</c:v>
                </c:pt>
                <c:pt idx="80">
                  <c:v>401.65220435716293</c:v>
                </c:pt>
                <c:pt idx="81">
                  <c:v>386.02913755516988</c:v>
                </c:pt>
                <c:pt idx="82">
                  <c:v>390.86628899650458</c:v>
                </c:pt>
                <c:pt idx="83">
                  <c:v>395.7021417186657</c:v>
                </c:pt>
                <c:pt idx="84">
                  <c:v>400.53671385046977</c:v>
                </c:pt>
                <c:pt idx="85">
                  <c:v>405.37002304691168</c:v>
                </c:pt>
                <c:pt idx="86">
                  <c:v>391.23832354179763</c:v>
                </c:pt>
                <c:pt idx="87">
                  <c:v>395.7021417186657</c:v>
                </c:pt>
                <c:pt idx="88">
                  <c:v>400.16486874659608</c:v>
                </c:pt>
                <c:pt idx="89">
                  <c:v>404.62651852552455</c:v>
                </c:pt>
                <c:pt idx="90">
                  <c:v>409.08710462349262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7" zoomScale="90" zoomScaleNormal="90" workbookViewId="0">
      <selection activeCell="E102" sqref="E10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10.4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0.43</v>
      </c>
      <c r="D9" s="36">
        <f t="shared" ref="D9:D18" si="0">C9*$C$5</f>
        <v>4.4720000000000004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0.25</v>
      </c>
      <c r="D10" s="36">
        <f t="shared" si="0"/>
        <v>2.6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9</v>
      </c>
      <c r="C11" s="35">
        <v>0.25</v>
      </c>
      <c r="D11" s="36">
        <f t="shared" si="0"/>
        <v>2.6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13</v>
      </c>
      <c r="C12" s="35">
        <v>7.0000000000000007E-2</v>
      </c>
      <c r="D12" s="36">
        <f t="shared" si="0"/>
        <v>0.72800000000000009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10.4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27</v>
      </c>
      <c r="B36" s="63">
        <v>118</v>
      </c>
      <c r="C36" s="63">
        <v>1</v>
      </c>
      <c r="D36" s="63">
        <v>15</v>
      </c>
      <c r="E36" s="54">
        <v>0.2</v>
      </c>
      <c r="F36" s="54"/>
      <c r="G36" s="54">
        <v>0.8</v>
      </c>
      <c r="H36" s="54"/>
      <c r="I36" s="52">
        <f>IFERROR(B36/A36,"")</f>
        <v>4.3703703703703702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132</v>
      </c>
      <c r="C37" s="63">
        <v>2</v>
      </c>
      <c r="D37" s="63">
        <v>13</v>
      </c>
      <c r="E37" s="54">
        <v>0.6</v>
      </c>
      <c r="F37" s="54"/>
      <c r="G37" s="54">
        <v>0.4</v>
      </c>
      <c r="H37" s="54"/>
      <c r="I37" s="56">
        <f t="shared" ref="I37:I55" si="1">IF(A37&lt;&gt;0,(B37-(B36-D36))/(A37-A36),"")</f>
        <v>9.6666666666666661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169</v>
      </c>
      <c r="C38" s="63">
        <v>3</v>
      </c>
      <c r="D38" s="63">
        <v>23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208</v>
      </c>
      <c r="C39" s="63">
        <v>4</v>
      </c>
      <c r="D39" s="63">
        <v>34</v>
      </c>
      <c r="E39" s="54"/>
      <c r="F39" s="54"/>
      <c r="G39" s="54"/>
      <c r="H39" s="54"/>
      <c r="I39" s="52">
        <f t="shared" si="1"/>
        <v>12.4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v>315</v>
      </c>
      <c r="C40" s="63">
        <v>5</v>
      </c>
      <c r="D40" s="63">
        <v>79</v>
      </c>
      <c r="E40" s="54"/>
      <c r="F40" s="54"/>
      <c r="G40" s="54"/>
      <c r="H40" s="54"/>
      <c r="I40" s="52">
        <f t="shared" si="1"/>
        <v>14.1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60</v>
      </c>
      <c r="B41" s="63">
        <v>393</v>
      </c>
      <c r="C41" s="63">
        <v>6</v>
      </c>
      <c r="D41" s="63">
        <v>88</v>
      </c>
      <c r="E41" s="54"/>
      <c r="F41" s="54"/>
      <c r="G41" s="54"/>
      <c r="H41" s="54"/>
      <c r="I41" s="56">
        <f t="shared" si="1"/>
        <v>15.7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70</v>
      </c>
      <c r="B42" s="63">
        <v>448</v>
      </c>
      <c r="C42" s="63">
        <v>7</v>
      </c>
      <c r="D42" s="63">
        <v>78</v>
      </c>
      <c r="E42" s="54"/>
      <c r="F42" s="54"/>
      <c r="G42" s="54"/>
      <c r="H42" s="54"/>
      <c r="I42" s="56">
        <f t="shared" si="1"/>
        <v>14.3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80</v>
      </c>
      <c r="B43" s="63">
        <v>460</v>
      </c>
      <c r="C43" s="63">
        <v>8</v>
      </c>
      <c r="D43" s="63">
        <v>460</v>
      </c>
      <c r="E43" s="54"/>
      <c r="F43" s="54"/>
      <c r="G43" s="54"/>
      <c r="H43" s="54"/>
      <c r="I43" s="52">
        <f t="shared" si="1"/>
        <v>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22</v>
      </c>
      <c r="C62" s="63">
        <v>1</v>
      </c>
      <c r="D62" s="63">
        <v>2</v>
      </c>
      <c r="E62" s="54"/>
      <c r="F62" s="54"/>
      <c r="G62" s="54">
        <v>1</v>
      </c>
      <c r="H62" s="54"/>
      <c r="I62" s="56">
        <f>IFERROR(B62/A62,"")</f>
        <v>4.4000000000000004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62</v>
      </c>
      <c r="C63" s="63">
        <v>2</v>
      </c>
      <c r="D63" s="63">
        <v>15</v>
      </c>
      <c r="E63" s="54"/>
      <c r="F63" s="54"/>
      <c r="G63" s="54">
        <v>1</v>
      </c>
      <c r="H63" s="54"/>
      <c r="I63" s="52">
        <f>IF(A63&lt;&gt;0,(B63-(B62-D62))/(A63-A62),"")</f>
        <v>8.4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89</v>
      </c>
      <c r="C64" s="63">
        <v>3</v>
      </c>
      <c r="D64" s="63">
        <v>13</v>
      </c>
      <c r="E64" s="54"/>
      <c r="F64" s="54"/>
      <c r="G64" s="54">
        <v>1</v>
      </c>
      <c r="H64" s="54"/>
      <c r="I64" s="52">
        <f>IF(A64&lt;&gt;0,(B64-(B63-D63))/(A64-A63),"")</f>
        <v>8.4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114</v>
      </c>
      <c r="C65" s="63">
        <v>4</v>
      </c>
      <c r="D65" s="63">
        <v>10</v>
      </c>
      <c r="E65" s="54">
        <v>0.1</v>
      </c>
      <c r="F65" s="54"/>
      <c r="G65" s="54">
        <v>0.9</v>
      </c>
      <c r="H65" s="54"/>
      <c r="I65" s="52">
        <f>IF(A65&lt;&gt;0,(B65-(B64-D64))/(A65-A64),"")</f>
        <v>7.6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136</v>
      </c>
      <c r="C66" s="63">
        <v>5</v>
      </c>
      <c r="D66" s="63">
        <v>8</v>
      </c>
      <c r="E66" s="54">
        <v>0.3</v>
      </c>
      <c r="F66" s="54"/>
      <c r="G66" s="54">
        <v>0.7</v>
      </c>
      <c r="H66" s="54"/>
      <c r="I66" s="52">
        <f t="shared" ref="I66:I81" si="2">IF(A66&lt;&gt;0,(B66-(B65-D65))/(A66-A65),"")</f>
        <v>6.4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154</v>
      </c>
      <c r="C67" s="63">
        <v>6</v>
      </c>
      <c r="D67" s="63">
        <v>6</v>
      </c>
      <c r="E67" s="54">
        <v>0.4</v>
      </c>
      <c r="F67" s="54"/>
      <c r="G67" s="54">
        <v>0.6</v>
      </c>
      <c r="H67" s="54"/>
      <c r="I67" s="52">
        <f t="shared" si="2"/>
        <v>5.2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169</v>
      </c>
      <c r="C68" s="63">
        <v>7</v>
      </c>
      <c r="D68" s="63">
        <v>5</v>
      </c>
      <c r="E68" s="54"/>
      <c r="F68" s="54"/>
      <c r="G68" s="54"/>
      <c r="H68" s="54"/>
      <c r="I68" s="52">
        <f t="shared" si="2"/>
        <v>4.2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183</v>
      </c>
      <c r="C69" s="53">
        <v>8</v>
      </c>
      <c r="D69" s="53">
        <v>4</v>
      </c>
      <c r="E69" s="54"/>
      <c r="F69" s="54"/>
      <c r="G69" s="54"/>
      <c r="H69" s="54"/>
      <c r="I69" s="52">
        <f t="shared" si="2"/>
        <v>3.8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198</v>
      </c>
      <c r="C70" s="53">
        <v>9</v>
      </c>
      <c r="D70" s="53">
        <v>198</v>
      </c>
      <c r="E70" s="54"/>
      <c r="F70" s="54"/>
      <c r="G70" s="54"/>
      <c r="H70" s="54"/>
      <c r="I70" s="52">
        <f t="shared" si="2"/>
        <v>3.8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chevelu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30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54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79</v>
      </c>
      <c r="C90" s="63">
        <v>3</v>
      </c>
      <c r="D90" s="63">
        <v>13</v>
      </c>
      <c r="E90" s="93"/>
      <c r="F90" s="93"/>
      <c r="G90" s="93"/>
      <c r="H90" s="93"/>
      <c r="I90" s="56">
        <f t="shared" si="3"/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93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107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121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135</v>
      </c>
      <c r="C94" s="63">
        <v>7</v>
      </c>
      <c r="D94" s="63">
        <v>14</v>
      </c>
      <c r="E94" s="93"/>
      <c r="F94" s="93"/>
      <c r="G94" s="93"/>
      <c r="H94" s="93"/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148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5.4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161</v>
      </c>
      <c r="C96" s="63">
        <v>9</v>
      </c>
      <c r="D96" s="63">
        <v>14</v>
      </c>
      <c r="E96" s="93"/>
      <c r="F96" s="93"/>
      <c r="G96" s="93"/>
      <c r="H96" s="93"/>
      <c r="I96" s="56">
        <f t="shared" si="3"/>
        <v>5.4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172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183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192</v>
      </c>
      <c r="C99" s="63">
        <v>12</v>
      </c>
      <c r="D99" s="63">
        <v>14</v>
      </c>
      <c r="E99" s="93"/>
      <c r="F99" s="93"/>
      <c r="G99" s="93"/>
      <c r="H99" s="93"/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193</v>
      </c>
      <c r="C100" s="63">
        <v>13</v>
      </c>
      <c r="D100" s="63">
        <v>14</v>
      </c>
      <c r="E100" s="68"/>
      <c r="F100" s="68"/>
      <c r="G100" s="68"/>
      <c r="H100" s="68"/>
      <c r="I100" s="56">
        <f t="shared" si="3"/>
        <v>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207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212</v>
      </c>
      <c r="C102" s="63">
        <v>15</v>
      </c>
      <c r="D102" s="53">
        <v>14</v>
      </c>
      <c r="E102" s="57"/>
      <c r="F102" s="57"/>
      <c r="G102" s="57"/>
      <c r="H102" s="57"/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215</v>
      </c>
      <c r="C103" s="63">
        <v>16</v>
      </c>
      <c r="D103" s="53">
        <v>13</v>
      </c>
      <c r="E103" s="57"/>
      <c r="F103" s="57"/>
      <c r="G103" s="57"/>
      <c r="H103" s="57"/>
      <c r="I103" s="56">
        <f t="shared" si="3"/>
        <v>3.4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217</v>
      </c>
      <c r="C104" s="63">
        <v>17</v>
      </c>
      <c r="D104" s="53">
        <v>13</v>
      </c>
      <c r="E104" s="57"/>
      <c r="F104" s="57"/>
      <c r="G104" s="57"/>
      <c r="H104" s="57"/>
      <c r="I104" s="56">
        <f t="shared" si="3"/>
        <v>3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219</v>
      </c>
      <c r="C105" s="53">
        <v>18</v>
      </c>
      <c r="D105" s="53">
        <v>13</v>
      </c>
      <c r="E105" s="57"/>
      <c r="F105" s="57"/>
      <c r="G105" s="57"/>
      <c r="H105" s="57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221</v>
      </c>
      <c r="C106" s="53">
        <v>19</v>
      </c>
      <c r="D106" s="53">
        <v>13</v>
      </c>
      <c r="E106" s="57"/>
      <c r="F106" s="57"/>
      <c r="G106" s="57"/>
      <c r="H106" s="57"/>
      <c r="I106" s="56">
        <f t="shared" si="3"/>
        <v>3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221</v>
      </c>
      <c r="C107" s="53">
        <v>20</v>
      </c>
      <c r="D107" s="53">
        <v>221</v>
      </c>
      <c r="E107" s="57"/>
      <c r="F107" s="57"/>
      <c r="G107" s="57"/>
      <c r="H107" s="57"/>
      <c r="I107" s="56">
        <f t="shared" si="3"/>
        <v>2.6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rouge d'Amérique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104</v>
      </c>
      <c r="C114" s="53">
        <v>1</v>
      </c>
      <c r="D114" s="63">
        <v>32</v>
      </c>
      <c r="E114" s="54">
        <v>0.1</v>
      </c>
      <c r="F114" s="54"/>
      <c r="G114" s="54">
        <v>0.9</v>
      </c>
      <c r="H114" s="54"/>
      <c r="I114" s="56">
        <f>IFERROR(B114/A114,"")</f>
        <v>5.2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125</v>
      </c>
      <c r="C115" s="53">
        <v>2</v>
      </c>
      <c r="D115" s="63">
        <v>31</v>
      </c>
      <c r="E115" s="54">
        <v>0.1</v>
      </c>
      <c r="F115" s="54"/>
      <c r="G115" s="54">
        <v>0.9</v>
      </c>
      <c r="H115" s="54"/>
      <c r="I115" s="56">
        <f t="shared" ref="I115:I133" si="4">IF(A115&lt;&gt;0,(B115-(B114-D114))/(A115-A114),"")</f>
        <v>10.6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144</v>
      </c>
      <c r="C116" s="53">
        <v>3</v>
      </c>
      <c r="D116" s="63">
        <v>31</v>
      </c>
      <c r="E116" s="54">
        <v>0.2</v>
      </c>
      <c r="F116" s="54"/>
      <c r="G116" s="54">
        <v>0.8</v>
      </c>
      <c r="H116" s="54"/>
      <c r="I116" s="56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159</v>
      </c>
      <c r="C117" s="53">
        <v>4</v>
      </c>
      <c r="D117" s="63">
        <v>30</v>
      </c>
      <c r="E117" s="54"/>
      <c r="F117" s="54"/>
      <c r="G117" s="54"/>
      <c r="H117" s="54"/>
      <c r="I117" s="56">
        <f t="shared" si="4"/>
        <v>9.1999999999999993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170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8.1999999999999993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180</v>
      </c>
      <c r="C119" s="53">
        <v>6</v>
      </c>
      <c r="D119" s="63">
        <v>26</v>
      </c>
      <c r="E119" s="54"/>
      <c r="F119" s="54"/>
      <c r="G119" s="54"/>
      <c r="H119" s="54"/>
      <c r="I119" s="56">
        <f t="shared" si="4"/>
        <v>7.6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187</v>
      </c>
      <c r="C120" s="63">
        <v>7</v>
      </c>
      <c r="D120" s="63">
        <v>24</v>
      </c>
      <c r="E120" s="93"/>
      <c r="F120" s="93"/>
      <c r="G120" s="93"/>
      <c r="H120" s="93"/>
      <c r="I120" s="56">
        <f t="shared" si="4"/>
        <v>6.6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194</v>
      </c>
      <c r="C121" s="63">
        <v>8</v>
      </c>
      <c r="D121" s="63">
        <v>21</v>
      </c>
      <c r="E121" s="93"/>
      <c r="F121" s="93"/>
      <c r="G121" s="93"/>
      <c r="H121" s="93"/>
      <c r="I121" s="56">
        <f t="shared" si="4"/>
        <v>6.2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199</v>
      </c>
      <c r="C122" s="63">
        <v>9</v>
      </c>
      <c r="D122" s="63">
        <v>19</v>
      </c>
      <c r="E122" s="93"/>
      <c r="F122" s="93"/>
      <c r="G122" s="93"/>
      <c r="H122" s="93"/>
      <c r="I122" s="56">
        <f t="shared" si="4"/>
        <v>5.2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203</v>
      </c>
      <c r="C123" s="63">
        <v>10</v>
      </c>
      <c r="D123" s="63">
        <v>17</v>
      </c>
      <c r="E123" s="93"/>
      <c r="F123" s="93"/>
      <c r="G123" s="93"/>
      <c r="H123" s="93"/>
      <c r="I123" s="56">
        <f t="shared" si="4"/>
        <v>4.5999999999999996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206</v>
      </c>
      <c r="C124" s="63">
        <v>11</v>
      </c>
      <c r="D124" s="63">
        <v>15</v>
      </c>
      <c r="E124" s="93"/>
      <c r="F124" s="93"/>
      <c r="G124" s="93"/>
      <c r="H124" s="93"/>
      <c r="I124" s="56">
        <f t="shared" si="4"/>
        <v>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209</v>
      </c>
      <c r="C125" s="63">
        <v>12</v>
      </c>
      <c r="D125" s="63">
        <v>13</v>
      </c>
      <c r="E125" s="93"/>
      <c r="F125" s="93"/>
      <c r="G125" s="93"/>
      <c r="H125" s="93"/>
      <c r="I125" s="56">
        <f t="shared" si="4"/>
        <v>3.6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211</v>
      </c>
      <c r="C126" s="63">
        <v>13</v>
      </c>
      <c r="D126" s="63">
        <v>11</v>
      </c>
      <c r="E126" s="68"/>
      <c r="F126" s="68"/>
      <c r="G126" s="68"/>
      <c r="H126" s="68"/>
      <c r="I126" s="56">
        <f t="shared" si="4"/>
        <v>3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213</v>
      </c>
      <c r="C127" s="63">
        <v>14</v>
      </c>
      <c r="D127" s="63">
        <v>10</v>
      </c>
      <c r="E127" s="68"/>
      <c r="F127" s="68"/>
      <c r="G127" s="68"/>
      <c r="H127" s="68"/>
      <c r="I127" s="56">
        <f t="shared" si="4"/>
        <v>2.6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215</v>
      </c>
      <c r="C128" s="53">
        <v>15</v>
      </c>
      <c r="D128" s="53">
        <v>215</v>
      </c>
      <c r="E128" s="57"/>
      <c r="F128" s="57"/>
      <c r="G128" s="57"/>
      <c r="H128" s="57"/>
      <c r="I128" s="56">
        <f t="shared" si="4"/>
        <v>2.4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5" sqref="G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chevelu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rouge d'Amérique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319.74550658573207</v>
      </c>
      <c r="T3" s="62">
        <f>IF('Données projet'!E9&gt;30,$R$33-$H$33,LOOKUP('Données projet'!$E$9,$A$3:$A$203,R3:R203)-LOOKUP('Données projet'!$E$9,$A$3:$A$203,$H$3:$H$203))</f>
        <v>231.35643408122294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254.64144953102331</v>
      </c>
      <c r="AO3" s="62">
        <f>IF('Données projet'!E10&gt;30,$AM$33-$H$33,LOOKUP('Données projet'!$E$10,$A$3:$A$203,AM3:AM203)-LOOKUP('Données projet'!$E$10,$A$3:$A$203,$H$3:$H$203))</f>
        <v>361.41009011468407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352.34406861564418</v>
      </c>
      <c r="BJ3" s="62">
        <f>IF('Données projet'!E11&gt;30,$BH$33-$H$33,LOOKUP('Données projet'!$E$11,$A$3:$A$203,BH3:BH203)-LOOKUP('Données projet'!$E$11,$A$3:$A$203,$H$3:$H$203))</f>
        <v>182.40373266220317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325.33012514933523</v>
      </c>
      <c r="CE3" s="62">
        <f>IF('Données projet'!E12&gt;30,$CC$33-$H$33,LOOKUP('Données projet'!$E$12,$A$3:$A$203,CC3:CC203)-LOOKUP('Données projet'!$E$12,$A$3:$A$203,$H$3:$H$203))</f>
        <v>332.38915219929675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4.3703703703703702</v>
      </c>
      <c r="N4" s="14">
        <f>IF('Données projet'!$A$36&gt;35,N3+M4-V3,IF(A4&lt;'Données projet'!$A$36,$K$205^A4,IF(A4='Données projet'!$A$36,'Données projet'!$B$36,N3+M4-V3)))</f>
        <v>1.1932635389591795</v>
      </c>
      <c r="O4" s="14">
        <f>N4*VLOOKUP('Données projet'!$B$9,Paramètres!$A$1:$I$89,3,0)*VLOOKUP('Données projet'!$B$9,Paramètres!$A$1:$I$89,5,0)</f>
        <v>0.71357159629758937</v>
      </c>
      <c r="P4" s="14">
        <f>EXP(-1.0587+0.8836*LN(O4)+0.284)</f>
        <v>0.34201841351504586</v>
      </c>
      <c r="Q4" s="22">
        <f t="shared" ref="Q4:Q34" si="2">(O4+P4)*0.475*44/12</f>
        <v>1.8384859337570063</v>
      </c>
      <c r="R4" s="62">
        <f t="shared" si="0"/>
        <v>169.65091988668084</v>
      </c>
      <c r="S4" s="62">
        <f ca="1">AVERAGE(OFFSET($R$3,0,0,'Données projet'!$E$9+1,1))-AVERAGE(OFFSET($H$3,0,0,'Données projet'!$E$9+1,1))</f>
        <v>319.74550658573207</v>
      </c>
      <c r="T4" s="62">
        <f>$T$3</f>
        <v>231.35643408122294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4.4000000000000004</v>
      </c>
      <c r="AI4" s="14">
        <f>IF('Données projet'!$A$62&gt;35,AI3+AH4-AQ3,IF(A4&lt;'Données projet'!$A$62,$AF$205^A4,IF(A4='Données projet'!$A$62,'Données projet'!$B$62,AI3+AH4-AQ3)))</f>
        <v>1.8556007362580844</v>
      </c>
      <c r="AJ4" s="14">
        <f>AI4*VLOOKUP('Données projet'!$B$10,Paramètres!$A$1:$I$89,3,0)*VLOOKUP('Données projet'!$B$10,Paramètres!$A$1:$I$89,5,0)</f>
        <v>1.6789475461663146</v>
      </c>
      <c r="AK4" s="14">
        <f>EXP(-1.0587+0.8836*LN(AJ4)+0.284)</f>
        <v>0.72844182078056119</v>
      </c>
      <c r="AL4" s="22">
        <f t="shared" ref="AL4:AL67" si="4">(AJ4+AK4)*0.475*44/12</f>
        <v>4.1928698140991418</v>
      </c>
      <c r="AM4" s="62">
        <f t="shared" ref="AM4:AM67" si="5">AL4+(AD4+AE4)*44/12</f>
        <v>172.00530376702298</v>
      </c>
      <c r="AN4" s="62">
        <f ca="1">AVERAGE(OFFSET($AM$3,0,0,'Données projet'!$E$10+1,1))-AVERAGE(OFFSET($H$3,0,0,'Données projet'!$E$10+1,1))</f>
        <v>254.64144953102331</v>
      </c>
      <c r="AO4" s="62">
        <f>$AO$3</f>
        <v>361.41009011468407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1.1975240695462721</v>
      </c>
      <c r="BF4" s="14">
        <f>EXP(-1.0587+0.8836*LN(BE4)+0.284)</f>
        <v>0.54041081187742124</v>
      </c>
      <c r="BG4" s="22">
        <f t="shared" ref="BG4:BG67" si="7">(BE4+BF4)*0.475*44/12</f>
        <v>3.0269032518129322</v>
      </c>
      <c r="BH4" s="62">
        <f t="shared" ref="BH4:BH67" si="8">BG4+(AY4+AZ4)*44/12</f>
        <v>170.83933720473678</v>
      </c>
      <c r="BI4" s="62">
        <f ca="1">AVERAGE(OFFSET($BH$3,0,0,'Données projet'!$E$11+1,1))-AVERAGE(OFFSET($H$3,0,0,'Données projet'!$E$11+1,1))</f>
        <v>352.34406861564418</v>
      </c>
      <c r="BJ4" s="62">
        <f>$BJ$3</f>
        <v>182.40373266220317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5.2</v>
      </c>
      <c r="BY4" s="13">
        <f>IF('Données projet'!$A$114&gt;35,BY3+BX4-CG3,IF(A4&lt;'Données projet'!$A$114,$BV$205^A4,IF(A4='Données projet'!$A$114,'Données projet'!$B$114,BY3+BX4-CG3)))</f>
        <v>1.2613966317002558</v>
      </c>
      <c r="BZ4" s="14">
        <f>BY4*VLOOKUP('Données projet'!$B$12,Paramètres!$A$1:$I$89,3,0)*VLOOKUP('Données projet'!$B$12,Paramètres!$A$1:$I$89,5,0)</f>
        <v>1.1019560974533436</v>
      </c>
      <c r="CA4" s="14">
        <f>EXP(-1.0587+0.8836*LN(BZ4)+0.284)</f>
        <v>0.5021210560685857</v>
      </c>
      <c r="CB4" s="22">
        <f t="shared" ref="CB4:CB67" si="10">(BZ4+CA4)*0.475*44/12</f>
        <v>2.7937677090506927</v>
      </c>
      <c r="CC4" s="62">
        <f t="shared" ref="CC4:CC67" si="11">CB4+(BT4+BU4)*44/12</f>
        <v>170.60620166197452</v>
      </c>
      <c r="CD4" s="62">
        <f ca="1">AVERAGE(OFFSET($CC$3,0,0,'Données projet'!$E$12+1,1))-AVERAGE(OFFSET($H$3,0,0,'Données projet'!$E$12+1,1))</f>
        <v>325.33012514933523</v>
      </c>
      <c r="CE4" s="62">
        <f>$CE$3</f>
        <v>332.38915219929675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4.3703703703703702</v>
      </c>
      <c r="N5" s="14">
        <f>IF('Données projet'!$A$36&gt;35,N4+M5-V4,IF(A5&lt;'Données projet'!$A$36,$K$205^A5,IF(A5='Données projet'!$A$36,'Données projet'!$B$36,N4+M5-V4)))</f>
        <v>1.4238778734093853</v>
      </c>
      <c r="O5" s="14">
        <f>N5*VLOOKUP('Données projet'!$B$9,Paramètres!$A$1:$I$89,3,0)*VLOOKUP('Données projet'!$B$9,Paramètres!$A$1:$I$89,5,0)</f>
        <v>0.85147896829881242</v>
      </c>
      <c r="P5" s="14">
        <f t="shared" ref="P5:P68" si="33">EXP(-1.0587+0.8836*LN(O5)+0.284)</f>
        <v>0.39981008543020569</v>
      </c>
      <c r="Q5" s="22">
        <f t="shared" si="2"/>
        <v>2.179328435244706</v>
      </c>
      <c r="R5" s="62">
        <f t="shared" si="0"/>
        <v>172.77660972274555</v>
      </c>
      <c r="S5" s="62">
        <f ca="1">AVERAGE(OFFSET($R$3,0,0,'Données projet'!$E$9+1,1))-AVERAGE(OFFSET($H$3,0,0,'Données projet'!$E$9+1,1))</f>
        <v>319.74550658573207</v>
      </c>
      <c r="T5" s="62">
        <f t="shared" ref="T5:T68" si="34">$T$3</f>
        <v>231.35643408122294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4.4000000000000004</v>
      </c>
      <c r="AI5" s="14">
        <f>IF('Données projet'!$A$62&gt;35,AI4+AH5-AQ4,IF(A5&lt;'Données projet'!$A$62,$AF$205^A5,IF(A5='Données projet'!$A$62,'Données projet'!$B$62,AI4+AH5-AQ4)))</f>
        <v>3.4432540924015451</v>
      </c>
      <c r="AJ5" s="14">
        <f>AI5*VLOOKUP('Données projet'!$B$10,Paramètres!$A$1:$I$89,3,0)*VLOOKUP('Données projet'!$B$10,Paramètres!$A$1:$I$89,5,0)</f>
        <v>3.115456302804918</v>
      </c>
      <c r="AK5" s="14">
        <f t="shared" ref="AK5:AK68" si="35">EXP(-1.0587+0.8836*LN(AJ5)+0.284)</f>
        <v>1.2578469684295466</v>
      </c>
      <c r="AL5" s="22">
        <f t="shared" si="4"/>
        <v>7.6168365307333579</v>
      </c>
      <c r="AM5" s="62">
        <f t="shared" si="5"/>
        <v>178.2141178182342</v>
      </c>
      <c r="AN5" s="62">
        <f ca="1">AVERAGE(OFFSET($AM$3,0,0,'Données projet'!$E$10+1,1))-AVERAGE(OFFSET($H$3,0,0,'Données projet'!$E$10+1,1))</f>
        <v>254.64144953102331</v>
      </c>
      <c r="AO5" s="62">
        <f t="shared" ref="AO5:AO68" si="36">$AO$3</f>
        <v>361.41009011468407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1.3720473566232918</v>
      </c>
      <c r="BF5" s="14">
        <f t="shared" ref="BF5:BF68" si="37">EXP(-1.0587+0.8836*LN(BE5)+0.284)</f>
        <v>0.60944062808197874</v>
      </c>
      <c r="BG5" s="22">
        <f t="shared" si="7"/>
        <v>3.4510915733616798</v>
      </c>
      <c r="BH5" s="62">
        <f t="shared" si="8"/>
        <v>174.04837286086251</v>
      </c>
      <c r="BI5" s="62">
        <f ca="1">AVERAGE(OFFSET($BH$3,0,0,'Données projet'!$E$11+1,1))-AVERAGE(OFFSET($H$3,0,0,'Données projet'!$E$11+1,1))</f>
        <v>352.34406861564418</v>
      </c>
      <c r="BJ5" s="62">
        <f t="shared" ref="BJ5:BJ68" si="38">$BJ$3</f>
        <v>182.40373266220317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5.2</v>
      </c>
      <c r="BY5" s="13">
        <f>IF('Données projet'!$A$114&gt;35,BY4+BX5-CG4,IF(A5&lt;'Données projet'!$A$114,$BV$205^A5,IF(A5='Données projet'!$A$114,'Données projet'!$B$114,BY4+BX5-CG4)))</f>
        <v>1.5911214624647509</v>
      </c>
      <c r="BZ5" s="14">
        <f>BY5*VLOOKUP('Données projet'!$B$12,Paramètres!$A$1:$I$89,3,0)*VLOOKUP('Données projet'!$B$12,Paramètres!$A$1:$I$89,5,0)</f>
        <v>1.3900037096092066</v>
      </c>
      <c r="CA5" s="14">
        <f t="shared" ref="CA5:CA68" si="39">EXP(-1.0587+0.8836*LN(BZ5)+0.284)</f>
        <v>0.61648280327257376</v>
      </c>
      <c r="CB5" s="22">
        <f t="shared" si="10"/>
        <v>3.494630676602434</v>
      </c>
      <c r="CC5" s="62">
        <f t="shared" si="11"/>
        <v>174.09191196410328</v>
      </c>
      <c r="CD5" s="62">
        <f ca="1">AVERAGE(OFFSET($CC$3,0,0,'Données projet'!$E$12+1,1))-AVERAGE(OFFSET($H$3,0,0,'Données projet'!$E$12+1,1))</f>
        <v>325.33012514933523</v>
      </c>
      <c r="CE5" s="62">
        <f t="shared" ref="CE5:CE68" si="40">$CE$3</f>
        <v>332.38915219929675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4.3703703703703702</v>
      </c>
      <c r="N6" s="14">
        <f>IF('Données projet'!$A$36&gt;35,N5+M6-V5,IF(A6&lt;'Données projet'!$A$36,$K$205^A6,IF(A6='Données projet'!$A$36,'Données projet'!$B$36,N5+M6-V5)))</f>
        <v>1.6990615502701536</v>
      </c>
      <c r="O6" s="14">
        <f>N6*VLOOKUP('Données projet'!$B$9,Paramètres!$A$1:$I$89,3,0)*VLOOKUP('Données projet'!$B$9,Paramètres!$A$1:$I$89,5,0)</f>
        <v>1.0160388070615518</v>
      </c>
      <c r="P6" s="14">
        <f t="shared" si="33"/>
        <v>0.46736695480483653</v>
      </c>
      <c r="Q6" s="22">
        <f t="shared" si="2"/>
        <v>2.5835983685839596</v>
      </c>
      <c r="R6" s="62">
        <f t="shared" si="0"/>
        <v>175.93861893846884</v>
      </c>
      <c r="S6" s="62">
        <f ca="1">AVERAGE(OFFSET($R$3,0,0,'Données projet'!$E$9+1,1))-AVERAGE(OFFSET($H$3,0,0,'Données projet'!$E$9+1,1))</f>
        <v>319.74550658573207</v>
      </c>
      <c r="T6" s="62">
        <f t="shared" si="34"/>
        <v>231.35643408122294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4.4000000000000004</v>
      </c>
      <c r="AI6" s="14">
        <f>IF('Données projet'!$A$62&gt;35,AI5+AH6-AQ5,IF(A6&lt;'Données projet'!$A$62,$AF$205^A6,IF(A6='Données projet'!$A$62,'Données projet'!$B$62,AI5+AH6-AQ5)))</f>
        <v>6.3893048289839696</v>
      </c>
      <c r="AJ6" s="14">
        <f>AI6*VLOOKUP('Données projet'!$B$10,Paramètres!$A$1:$I$89,3,0)*VLOOKUP('Données projet'!$B$10,Paramètres!$A$1:$I$89,5,0)</f>
        <v>5.7810430092646952</v>
      </c>
      <c r="AK6" s="14">
        <f t="shared" si="35"/>
        <v>2.1720046143040199</v>
      </c>
      <c r="AL6" s="22">
        <f t="shared" si="4"/>
        <v>13.851557944382177</v>
      </c>
      <c r="AM6" s="62">
        <f t="shared" si="5"/>
        <v>187.20657851426705</v>
      </c>
      <c r="AN6" s="62">
        <f ca="1">AVERAGE(OFFSET($AM$3,0,0,'Données projet'!$E$10+1,1))-AVERAGE(OFFSET($H$3,0,0,'Données projet'!$E$10+1,1))</f>
        <v>254.64144953102331</v>
      </c>
      <c r="AO6" s="62">
        <f t="shared" si="36"/>
        <v>361.41009011468407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1.5720051034383178</v>
      </c>
      <c r="BF6" s="14">
        <f t="shared" si="37"/>
        <v>0.68728802421000335</v>
      </c>
      <c r="BG6" s="22">
        <f t="shared" si="7"/>
        <v>3.9349355306541596</v>
      </c>
      <c r="BH6" s="62">
        <f t="shared" si="8"/>
        <v>177.28995610053906</v>
      </c>
      <c r="BI6" s="62">
        <f ca="1">AVERAGE(OFFSET($BH$3,0,0,'Données projet'!$E$11+1,1))-AVERAGE(OFFSET($H$3,0,0,'Données projet'!$E$11+1,1))</f>
        <v>352.34406861564418</v>
      </c>
      <c r="BJ6" s="62">
        <f t="shared" si="38"/>
        <v>182.40373266220317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5.2</v>
      </c>
      <c r="BY6" s="13">
        <f>IF('Données projet'!$A$114&gt;35,BY5+BX6-CG5,IF(A6&lt;'Données projet'!$A$114,$BV$205^A6,IF(A6='Données projet'!$A$114,'Données projet'!$B$114,BY5+BX6-CG5)))</f>
        <v>2.0070352533790219</v>
      </c>
      <c r="BZ6" s="14">
        <f>BY6*VLOOKUP('Données projet'!$B$12,Paramètres!$A$1:$I$89,3,0)*VLOOKUP('Données projet'!$B$12,Paramètres!$A$1:$I$89,5,0)</f>
        <v>1.7533459973519137</v>
      </c>
      <c r="CA6" s="14">
        <f t="shared" si="39"/>
        <v>0.75689127579405635</v>
      </c>
      <c r="CB6" s="22">
        <f t="shared" si="10"/>
        <v>4.3719965840625639</v>
      </c>
      <c r="CC6" s="62">
        <f t="shared" si="11"/>
        <v>177.72701715394746</v>
      </c>
      <c r="CD6" s="62">
        <f ca="1">AVERAGE(OFFSET($CC$3,0,0,'Données projet'!$E$12+1,1))-AVERAGE(OFFSET($H$3,0,0,'Données projet'!$E$12+1,1))</f>
        <v>325.33012514933523</v>
      </c>
      <c r="CE6" s="62">
        <f t="shared" si="40"/>
        <v>332.38915219929675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4.3703703703703702</v>
      </c>
      <c r="N7" s="14">
        <f>IF('Données projet'!$A$36&gt;35,N6+M7-V6,IF(A7&lt;'Données projet'!$A$36,$K$205^A7,IF(A7='Données projet'!$A$36,'Données projet'!$B$36,N6+M7-V6)))</f>
        <v>2.0274281983848335</v>
      </c>
      <c r="O7" s="14">
        <f>N7*VLOOKUP('Données projet'!$B$9,Paramètres!$A$1:$I$89,3,0)*VLOOKUP('Données projet'!$B$9,Paramètres!$A$1:$I$89,5,0)</f>
        <v>1.2124020626341305</v>
      </c>
      <c r="P7" s="14">
        <f t="shared" si="33"/>
        <v>0.54633907048269681</v>
      </c>
      <c r="Q7" s="22">
        <f t="shared" si="2"/>
        <v>3.0631408068451407</v>
      </c>
      <c r="R7" s="62">
        <f t="shared" si="0"/>
        <v>179.14926287102207</v>
      </c>
      <c r="S7" s="62">
        <f ca="1">AVERAGE(OFFSET($R$3,0,0,'Données projet'!$E$9+1,1))-AVERAGE(OFFSET($H$3,0,0,'Données projet'!$E$9+1,1))</f>
        <v>319.74550658573207</v>
      </c>
      <c r="T7" s="62">
        <f t="shared" si="34"/>
        <v>231.35643408122294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4.4000000000000004</v>
      </c>
      <c r="AI7" s="14">
        <f>IF('Données projet'!$A$62&gt;35,AI6+AH7-AQ6,IF(A7&lt;'Données projet'!$A$62,$AF$205^A7,IF(A7='Données projet'!$A$62,'Données projet'!$B$62,AI6+AH7-AQ6)))</f>
        <v>11.855998744839988</v>
      </c>
      <c r="AJ7" s="14">
        <f>AI7*VLOOKUP('Données projet'!$B$10,Paramètres!$A$1:$I$89,3,0)*VLOOKUP('Données projet'!$B$10,Paramètres!$A$1:$I$89,5,0)</f>
        <v>10.727307664331221</v>
      </c>
      <c r="AK7" s="14">
        <f t="shared" si="35"/>
        <v>3.7505389470771635</v>
      </c>
      <c r="AL7" s="22">
        <f t="shared" si="4"/>
        <v>25.215582848202938</v>
      </c>
      <c r="AM7" s="62">
        <f t="shared" si="5"/>
        <v>201.30170491237988</v>
      </c>
      <c r="AN7" s="62">
        <f ca="1">AVERAGE(OFFSET($AM$3,0,0,'Données projet'!$E$10+1,1))-AVERAGE(OFFSET($H$3,0,0,'Données projet'!$E$10+1,1))</f>
        <v>254.64144953102331</v>
      </c>
      <c r="AO7" s="62">
        <f t="shared" si="36"/>
        <v>361.41009011468407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1.8011040459404539</v>
      </c>
      <c r="BF7" s="14">
        <f t="shared" si="37"/>
        <v>0.77507932103100641</v>
      </c>
      <c r="BG7" s="22">
        <f t="shared" si="7"/>
        <v>4.4868526974752925</v>
      </c>
      <c r="BH7" s="62">
        <f t="shared" si="8"/>
        <v>180.57297476165223</v>
      </c>
      <c r="BI7" s="62">
        <f ca="1">AVERAGE(OFFSET($BH$3,0,0,'Données projet'!$E$11+1,1))-AVERAGE(OFFSET($H$3,0,0,'Données projet'!$E$11+1,1))</f>
        <v>352.34406861564418</v>
      </c>
      <c r="BJ7" s="62">
        <f t="shared" si="38"/>
        <v>182.40373266220317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5.2</v>
      </c>
      <c r="BY7" s="13">
        <f>IF('Données projet'!$A$114&gt;35,BY6+BX7-CG6,IF(A7&lt;'Données projet'!$A$114,$BV$205^A7,IF(A7='Données projet'!$A$114,'Données projet'!$B$114,BY6+BX7-CG6)))</f>
        <v>2.5316675083159677</v>
      </c>
      <c r="BZ7" s="14">
        <f>BY7*VLOOKUP('Données projet'!$B$12,Paramètres!$A$1:$I$89,3,0)*VLOOKUP('Données projet'!$B$12,Paramètres!$A$1:$I$89,5,0)</f>
        <v>2.2116647352648298</v>
      </c>
      <c r="CA7" s="14">
        <f t="shared" si="39"/>
        <v>0.92927880604620439</v>
      </c>
      <c r="CB7" s="22">
        <f t="shared" si="10"/>
        <v>5.4704766677833838</v>
      </c>
      <c r="CC7" s="62">
        <f t="shared" si="11"/>
        <v>181.55659873196032</v>
      </c>
      <c r="CD7" s="62">
        <f ca="1">AVERAGE(OFFSET($CC$3,0,0,'Données projet'!$E$12+1,1))-AVERAGE(OFFSET($H$3,0,0,'Données projet'!$E$12+1,1))</f>
        <v>325.33012514933523</v>
      </c>
      <c r="CE7" s="62">
        <f t="shared" si="40"/>
        <v>332.38915219929675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4.3703703703703702</v>
      </c>
      <c r="N8" s="14">
        <f>IF('Données projet'!$A$36&gt;35,N7+M8-V7,IF(A8&lt;'Données projet'!$A$36,$K$205^A8,IF(A8='Données projet'!$A$36,'Données projet'!$B$36,N7+M8-V7)))</f>
        <v>2.4192561469903198</v>
      </c>
      <c r="O8" s="14">
        <f>N8*VLOOKUP('Données projet'!$B$9,Paramètres!$A$1:$I$89,3,0)*VLOOKUP('Données projet'!$B$9,Paramètres!$A$1:$I$89,5,0)</f>
        <v>1.4467151759002115</v>
      </c>
      <c r="P8" s="14">
        <f t="shared" si="33"/>
        <v>0.63865529401953391</v>
      </c>
      <c r="Q8" s="22">
        <f t="shared" si="2"/>
        <v>3.6320202351102231</v>
      </c>
      <c r="R8" s="62">
        <f t="shared" si="0"/>
        <v>182.42306811155757</v>
      </c>
      <c r="S8" s="62">
        <f ca="1">AVERAGE(OFFSET($R$3,0,0,'Données projet'!$E$9+1,1))-AVERAGE(OFFSET($H$3,0,0,'Données projet'!$E$9+1,1))</f>
        <v>319.74550658573207</v>
      </c>
      <c r="T8" s="62">
        <f t="shared" si="34"/>
        <v>231.35643408122294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22</v>
      </c>
      <c r="AG8" s="13">
        <f>VLOOKUP(A8,'Données projet'!$A$61:$I$81,9,0)</f>
        <v>4.4000000000000004</v>
      </c>
      <c r="AH8" s="13">
        <f t="array" ref="AH8">INDEX(AG:AG,MIN(IF(ISNUMBER(AG8:AG204),ROW(AG8:AG204),"")))</f>
        <v>4.4000000000000004</v>
      </c>
      <c r="AI8" s="14">
        <f>IF('Données projet'!$A$62&gt;35,AI7+AH8-AQ7,IF(A8&lt;'Données projet'!$A$62,$AF$205^A8,IF(A8='Données projet'!$A$62,'Données projet'!$B$62,AI7+AH8-AQ7)))</f>
        <v>22</v>
      </c>
      <c r="AJ8" s="14">
        <f>AI8*VLOOKUP('Données projet'!$B$10,Paramètres!$A$1:$I$89,3,0)*VLOOKUP('Données projet'!$B$10,Paramètres!$A$1:$I$89,5,0)</f>
        <v>19.9056</v>
      </c>
      <c r="AK8" s="14">
        <f t="shared" si="35"/>
        <v>6.4762948940833853</v>
      </c>
      <c r="AL8" s="22">
        <f t="shared" si="4"/>
        <v>45.948466940528562</v>
      </c>
      <c r="AM8" s="62">
        <f t="shared" si="5"/>
        <v>224.73951481697591</v>
      </c>
      <c r="AN8" s="62">
        <f ca="1">AVERAGE(OFFSET($AM$3,0,0,'Données projet'!$E$10+1,1))-AVERAGE(OFFSET($H$3,0,0,'Données projet'!$E$10+1,1))</f>
        <v>254.64144953102331</v>
      </c>
      <c r="AO8" s="62">
        <f t="shared" si="36"/>
        <v>361.41009011468407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2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1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1.7074063046699104</v>
      </c>
      <c r="AX8" s="23">
        <f t="shared" si="6"/>
        <v>1.7074063046699104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2.0635911277945542</v>
      </c>
      <c r="BF8" s="14">
        <f t="shared" si="37"/>
        <v>0.87408471081743333</v>
      </c>
      <c r="BG8" s="22">
        <f t="shared" si="7"/>
        <v>5.1164520855825444</v>
      </c>
      <c r="BH8" s="62">
        <f t="shared" si="8"/>
        <v>183.9074999620299</v>
      </c>
      <c r="BI8" s="62">
        <f ca="1">AVERAGE(OFFSET($BH$3,0,0,'Données projet'!$E$11+1,1))-AVERAGE(OFFSET($H$3,0,0,'Données projet'!$E$11+1,1))</f>
        <v>352.34406861564418</v>
      </c>
      <c r="BJ8" s="62">
        <f t="shared" si="38"/>
        <v>182.40373266220317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5.2</v>
      </c>
      <c r="BY8" s="13">
        <f>IF('Données projet'!$A$114&gt;35,BY7+BX8-CG7,IF(A8&lt;'Données projet'!$A$114,$BV$205^A8,IF(A8='Données projet'!$A$114,'Données projet'!$B$114,BY7+BX8-CG7)))</f>
        <v>3.1934368675747411</v>
      </c>
      <c r="BZ8" s="14">
        <f>BY8*VLOOKUP('Données projet'!$B$12,Paramètres!$A$1:$I$89,3,0)*VLOOKUP('Données projet'!$B$12,Paramètres!$A$1:$I$89,5,0)</f>
        <v>2.7897864475132943</v>
      </c>
      <c r="CA8" s="14">
        <f t="shared" si="39"/>
        <v>1.1409288585876447</v>
      </c>
      <c r="CB8" s="22">
        <f t="shared" si="10"/>
        <v>6.8459958247924684</v>
      </c>
      <c r="CC8" s="62">
        <f t="shared" si="11"/>
        <v>185.63704370123983</v>
      </c>
      <c r="CD8" s="62">
        <f ca="1">AVERAGE(OFFSET($CC$3,0,0,'Données projet'!$E$12+1,1))-AVERAGE(OFFSET($H$3,0,0,'Données projet'!$E$12+1,1))</f>
        <v>325.33012514933523</v>
      </c>
      <c r="CE8" s="62">
        <f t="shared" si="40"/>
        <v>332.38915219929675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4.3703703703703702</v>
      </c>
      <c r="N9" s="14">
        <f>IF('Données projet'!$A$36&gt;35,N8+M9-V8,IF(A9&lt;'Données projet'!$A$36,$K$205^A9,IF(A9='Données projet'!$A$36,'Données projet'!$B$36,N8+M9-V8)))</f>
        <v>2.8868101516064182</v>
      </c>
      <c r="O9" s="14">
        <f>N9*VLOOKUP('Données projet'!$B$9,Paramètres!$A$1:$I$89,3,0)*VLOOKUP('Données projet'!$B$9,Paramètres!$A$1:$I$89,5,0)</f>
        <v>1.7263124706606381</v>
      </c>
      <c r="P9" s="14">
        <f t="shared" si="33"/>
        <v>0.7465704113359678</v>
      </c>
      <c r="Q9" s="22">
        <f t="shared" si="2"/>
        <v>4.3069376861440878</v>
      </c>
      <c r="R9" s="62">
        <f t="shared" si="0"/>
        <v>185.77718978240307</v>
      </c>
      <c r="S9" s="62">
        <f ca="1">AVERAGE(OFFSET($R$3,0,0,'Données projet'!$E$9+1,1))-AVERAGE(OFFSET($H$3,0,0,'Données projet'!$E$9+1,1))</f>
        <v>319.74550658573207</v>
      </c>
      <c r="T9" s="62">
        <f t="shared" si="34"/>
        <v>231.35643408122294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8.4</v>
      </c>
      <c r="AI9" s="14">
        <f>IF('Données projet'!$A$62&gt;35,AI8+AH9-AQ8,IF(A9&lt;'Données projet'!$A$62,$AF$205^A9,IF(A9='Données projet'!$A$62,'Données projet'!$B$62,AI8+AH9-AQ8)))</f>
        <v>28.4</v>
      </c>
      <c r="AJ9" s="14">
        <f>AI9*VLOOKUP('Données projet'!$B$10,Paramètres!$A$1:$I$89,3,0)*VLOOKUP('Données projet'!$B$10,Paramètres!$A$1:$I$89,5,0)</f>
        <v>25.696319999999996</v>
      </c>
      <c r="AK9" s="14">
        <f t="shared" si="35"/>
        <v>8.1154764225027609</v>
      </c>
      <c r="AL9" s="22">
        <f t="shared" si="4"/>
        <v>58.88887876919231</v>
      </c>
      <c r="AM9" s="62">
        <f t="shared" si="5"/>
        <v>240.35913086545128</v>
      </c>
      <c r="AN9" s="62">
        <f ca="1">AVERAGE(OFFSET($AM$3,0,0,'Données projet'!$E$10+1,1))-AVERAGE(OFFSET($H$3,0,0,'Données projet'!$E$10+1,1))</f>
        <v>254.64144953102331</v>
      </c>
      <c r="AO9" s="62">
        <f t="shared" si="36"/>
        <v>361.41009011468407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1.2073185762727581</v>
      </c>
      <c r="AX9" s="23">
        <f t="shared" si="6"/>
        <v>1.2073185762727581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2.3643322285075734</v>
      </c>
      <c r="BF9" s="14">
        <f t="shared" si="37"/>
        <v>0.98573663488853658</v>
      </c>
      <c r="BG9" s="22">
        <f t="shared" si="7"/>
        <v>5.8347032704148916</v>
      </c>
      <c r="BH9" s="62">
        <f t="shared" si="8"/>
        <v>187.30495536667388</v>
      </c>
      <c r="BI9" s="62">
        <f ca="1">AVERAGE(OFFSET($BH$3,0,0,'Données projet'!$E$11+1,1))-AVERAGE(OFFSET($H$3,0,0,'Données projet'!$E$11+1,1))</f>
        <v>352.34406861564418</v>
      </c>
      <c r="BJ9" s="62">
        <f t="shared" si="38"/>
        <v>182.40373266220317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5.2</v>
      </c>
      <c r="BY9" s="13">
        <f>IF('Données projet'!$A$114&gt;35,BY8+BX9-CG8,IF(A9&lt;'Données projet'!$A$114,$BV$205^A9,IF(A9='Données projet'!$A$114,'Données projet'!$B$114,BY8+BX9-CG8)))</f>
        <v>4.0281905083061949</v>
      </c>
      <c r="BZ9" s="14">
        <f>BY9*VLOOKUP('Données projet'!$B$12,Paramètres!$A$1:$I$89,3,0)*VLOOKUP('Données projet'!$B$12,Paramètres!$A$1:$I$89,5,0)</f>
        <v>3.5190272280562924</v>
      </c>
      <c r="CA9" s="14">
        <f t="shared" si="39"/>
        <v>1.4007837603619935</v>
      </c>
      <c r="CB9" s="22">
        <f t="shared" si="10"/>
        <v>8.5686708048285141</v>
      </c>
      <c r="CC9" s="62">
        <f t="shared" si="11"/>
        <v>190.03892290108749</v>
      </c>
      <c r="CD9" s="62">
        <f ca="1">AVERAGE(OFFSET($CC$3,0,0,'Données projet'!$E$12+1,1))-AVERAGE(OFFSET($H$3,0,0,'Données projet'!$E$12+1,1))</f>
        <v>325.33012514933523</v>
      </c>
      <c r="CE9" s="62">
        <f t="shared" si="40"/>
        <v>332.38915219929675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4.3703703703703702</v>
      </c>
      <c r="N10" s="14">
        <f>IF('Données projet'!$A$36&gt;35,N9+M10-V9,IF(A10&lt;'Données projet'!$A$36,$K$205^A10,IF(A10='Données projet'!$A$36,'Données projet'!$B$36,N9+M10-V9)))</f>
        <v>3.4447252978091596</v>
      </c>
      <c r="O10" s="14">
        <f>N10*VLOOKUP('Données projet'!$B$9,Paramètres!$A$1:$I$89,3,0)*VLOOKUP('Données projet'!$B$9,Paramètres!$A$1:$I$89,5,0)</f>
        <v>2.0599457280898776</v>
      </c>
      <c r="P10" s="14">
        <f t="shared" si="33"/>
        <v>0.87272020493939328</v>
      </c>
      <c r="Q10" s="22">
        <f t="shared" si="2"/>
        <v>5.1077265000259793</v>
      </c>
      <c r="R10" s="62">
        <f t="shared" si="0"/>
        <v>189.23190743576222</v>
      </c>
      <c r="S10" s="62">
        <f ca="1">AVERAGE(OFFSET($R$3,0,0,'Données projet'!$E$9+1,1))-AVERAGE(OFFSET($H$3,0,0,'Données projet'!$E$9+1,1))</f>
        <v>319.74550658573207</v>
      </c>
      <c r="T10" s="62">
        <f t="shared" si="34"/>
        <v>231.35643408122294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8.4</v>
      </c>
      <c r="AI10" s="14">
        <f>IF('Données projet'!$A$62&gt;35,AI9+AH10-AQ9,IF(A10&lt;'Données projet'!$A$62,$AF$205^A10,IF(A10='Données projet'!$A$62,'Données projet'!$B$62,AI9+AH10-AQ9)))</f>
        <v>36.799999999999997</v>
      </c>
      <c r="AJ10" s="14">
        <f>AI10*VLOOKUP('Données projet'!$B$10,Paramètres!$A$1:$I$89,3,0)*VLOOKUP('Données projet'!$B$10,Paramètres!$A$1:$I$89,5,0)</f>
        <v>33.296639999999996</v>
      </c>
      <c r="AK10" s="14">
        <f t="shared" si="35"/>
        <v>10.203403646313538</v>
      </c>
      <c r="AL10" s="22">
        <f t="shared" si="4"/>
        <v>75.762576017329408</v>
      </c>
      <c r="AM10" s="62">
        <f t="shared" si="5"/>
        <v>259.88675695306563</v>
      </c>
      <c r="AN10" s="62">
        <f ca="1">AVERAGE(OFFSET($AM$3,0,0,'Données projet'!$E$10+1,1))-AVERAGE(OFFSET($H$3,0,0,'Données projet'!$E$10+1,1))</f>
        <v>254.64144953102331</v>
      </c>
      <c r="AO10" s="62">
        <f t="shared" si="36"/>
        <v>361.41009011468407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0.85370315233495531</v>
      </c>
      <c r="AX10" s="23">
        <f t="shared" si="6"/>
        <v>0.85370315233495531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2.7089023651375772</v>
      </c>
      <c r="BF10" s="14">
        <f t="shared" si="37"/>
        <v>1.1116505086248174</v>
      </c>
      <c r="BG10" s="22">
        <f t="shared" si="7"/>
        <v>6.6541295884695044</v>
      </c>
      <c r="BH10" s="62">
        <f t="shared" si="8"/>
        <v>190.77831052420575</v>
      </c>
      <c r="BI10" s="62">
        <f ca="1">AVERAGE(OFFSET($BH$3,0,0,'Données projet'!$E$11+1,1))-AVERAGE(OFFSET($H$3,0,0,'Données projet'!$E$11+1,1))</f>
        <v>352.34406861564418</v>
      </c>
      <c r="BJ10" s="62">
        <f t="shared" si="38"/>
        <v>182.40373266220317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5.2</v>
      </c>
      <c r="BY10" s="13">
        <f>IF('Données projet'!$A$114&gt;35,BY9+BX10-CG9,IF(A10&lt;'Données projet'!$A$114,$BV$205^A10,IF(A10='Données projet'!$A$114,'Données projet'!$B$114,BY9+BX10-CG9)))</f>
        <v>5.0811459390243749</v>
      </c>
      <c r="BZ10" s="14">
        <f>BY10*VLOOKUP('Données projet'!$B$12,Paramètres!$A$1:$I$89,3,0)*VLOOKUP('Données projet'!$B$12,Paramètres!$A$1:$I$89,5,0)</f>
        <v>4.4388890923316948</v>
      </c>
      <c r="CA10" s="14">
        <f t="shared" si="39"/>
        <v>1.7198225187527358</v>
      </c>
      <c r="CB10" s="22">
        <f t="shared" si="10"/>
        <v>10.726422722638716</v>
      </c>
      <c r="CC10" s="62">
        <f t="shared" si="11"/>
        <v>194.85060365837495</v>
      </c>
      <c r="CD10" s="62">
        <f ca="1">AVERAGE(OFFSET($CC$3,0,0,'Données projet'!$E$12+1,1))-AVERAGE(OFFSET($H$3,0,0,'Données projet'!$E$12+1,1))</f>
        <v>325.33012514933523</v>
      </c>
      <c r="CE10" s="62">
        <f t="shared" si="40"/>
        <v>332.38915219929675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4.3703703703703702</v>
      </c>
      <c r="N11" s="14">
        <f>IF('Données projet'!$A$36&gt;35,N10+M11-V10,IF(A11&lt;'Données projet'!$A$36,$K$205^A11,IF(A11='Données projet'!$A$36,'Données projet'!$B$36,N10+M11-V10)))</f>
        <v>4.110465099605972</v>
      </c>
      <c r="O11" s="14">
        <f>N11*VLOOKUP('Données projet'!$B$9,Paramètres!$A$1:$I$89,3,0)*VLOOKUP('Données projet'!$B$9,Paramètres!$A$1:$I$89,5,0)</f>
        <v>2.4580581295643715</v>
      </c>
      <c r="P11" s="14">
        <f t="shared" si="33"/>
        <v>1.0201858318313493</v>
      </c>
      <c r="Q11" s="22">
        <f t="shared" si="2"/>
        <v>6.0579415660975471</v>
      </c>
      <c r="R11" s="62">
        <f t="shared" si="0"/>
        <v>192.81121443231811</v>
      </c>
      <c r="S11" s="62">
        <f ca="1">AVERAGE(OFFSET($R$3,0,0,'Données projet'!$E$9+1,1))-AVERAGE(OFFSET($H$3,0,0,'Données projet'!$E$9+1,1))</f>
        <v>319.74550658573207</v>
      </c>
      <c r="T11" s="62">
        <f t="shared" si="34"/>
        <v>231.35643408122294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8.4</v>
      </c>
      <c r="AI11" s="14">
        <f>IF('Données projet'!$A$62&gt;35,AI10+AH11-AQ10,IF(A11&lt;'Données projet'!$A$62,$AF$205^A11,IF(A11='Données projet'!$A$62,'Données projet'!$B$62,AI10+AH11-AQ10)))</f>
        <v>45.199999999999996</v>
      </c>
      <c r="AJ11" s="14">
        <f>AI11*VLOOKUP('Données projet'!$B$10,Paramètres!$A$1:$I$89,3,0)*VLOOKUP('Données projet'!$B$10,Paramètres!$A$1:$I$89,5,0)</f>
        <v>40.896959999999993</v>
      </c>
      <c r="AK11" s="14">
        <f t="shared" si="35"/>
        <v>12.236078544211829</v>
      </c>
      <c r="AL11" s="22">
        <f t="shared" si="4"/>
        <v>92.540042131168903</v>
      </c>
      <c r="AM11" s="62">
        <f t="shared" si="5"/>
        <v>279.29331499738947</v>
      </c>
      <c r="AN11" s="62">
        <f ca="1">AVERAGE(OFFSET($AM$3,0,0,'Données projet'!$E$10+1,1))-AVERAGE(OFFSET($H$3,0,0,'Données projet'!$E$10+1,1))</f>
        <v>254.64144953102331</v>
      </c>
      <c r="AO11" s="62">
        <f t="shared" si="36"/>
        <v>361.41009011468407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0.60365928813637915</v>
      </c>
      <c r="AX11" s="23">
        <f t="shared" si="6"/>
        <v>0.60365928813637915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3.1036890397082595</v>
      </c>
      <c r="BF11" s="14">
        <f t="shared" si="37"/>
        <v>1.2536480938091046</v>
      </c>
      <c r="BG11" s="22">
        <f t="shared" si="7"/>
        <v>7.5890288408760744</v>
      </c>
      <c r="BH11" s="62">
        <f t="shared" si="8"/>
        <v>194.34230170709662</v>
      </c>
      <c r="BI11" s="62">
        <f ca="1">AVERAGE(OFFSET($BH$3,0,0,'Données projet'!$E$11+1,1))-AVERAGE(OFFSET($H$3,0,0,'Données projet'!$E$11+1,1))</f>
        <v>352.34406861564418</v>
      </c>
      <c r="BJ11" s="62">
        <f t="shared" si="38"/>
        <v>182.40373266220317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5.2</v>
      </c>
      <c r="BY11" s="13">
        <f>IF('Données projet'!$A$114&gt;35,BY10+BX11-CG10,IF(A11&lt;'Données projet'!$A$114,$BV$205^A11,IF(A11='Données projet'!$A$114,'Données projet'!$B$114,BY10+BX11-CG10)))</f>
        <v>6.40934037266278</v>
      </c>
      <c r="BZ11" s="14">
        <f>BY11*VLOOKUP('Données projet'!$B$12,Paramètres!$A$1:$I$89,3,0)*VLOOKUP('Données projet'!$B$12,Paramètres!$A$1:$I$89,5,0)</f>
        <v>5.5991997495582053</v>
      </c>
      <c r="CA11" s="14">
        <f t="shared" si="39"/>
        <v>2.1115246904666036</v>
      </c>
      <c r="CB11" s="22">
        <f t="shared" si="10"/>
        <v>13.429511733043208</v>
      </c>
      <c r="CC11" s="62">
        <f t="shared" si="11"/>
        <v>200.18278459926375</v>
      </c>
      <c r="CD11" s="62">
        <f ca="1">AVERAGE(OFFSET($CC$3,0,0,'Données projet'!$E$12+1,1))-AVERAGE(OFFSET($H$3,0,0,'Données projet'!$E$12+1,1))</f>
        <v>325.33012514933523</v>
      </c>
      <c r="CE11" s="62">
        <f t="shared" si="40"/>
        <v>332.38915219929675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4.3703703703703702</v>
      </c>
      <c r="N12" s="14">
        <f>IF('Données projet'!$A$36&gt;35,N11+M12-V11,IF(A12&lt;'Données projet'!$A$36,$K$205^A12,IF(A12='Données projet'!$A$36,'Données projet'!$B$36,N11+M12-V11)))</f>
        <v>4.9048681315240179</v>
      </c>
      <c r="O12" s="14">
        <f>N12*VLOOKUP('Données projet'!$B$9,Paramètres!$A$1:$I$89,3,0)*VLOOKUP('Données projet'!$B$9,Paramètres!$A$1:$I$89,5,0)</f>
        <v>2.9331111426513625</v>
      </c>
      <c r="P12" s="14">
        <f t="shared" si="33"/>
        <v>1.192569079504352</v>
      </c>
      <c r="Q12" s="22">
        <f t="shared" si="2"/>
        <v>7.1855597202545356</v>
      </c>
      <c r="R12" s="62">
        <f t="shared" si="0"/>
        <v>196.5435184728106</v>
      </c>
      <c r="S12" s="62">
        <f ca="1">AVERAGE(OFFSET($R$3,0,0,'Données projet'!$E$9+1,1))-AVERAGE(OFFSET($H$3,0,0,'Données projet'!$E$9+1,1))</f>
        <v>319.74550658573207</v>
      </c>
      <c r="T12" s="62">
        <f t="shared" si="34"/>
        <v>231.35643408122294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8.4</v>
      </c>
      <c r="AI12" s="14">
        <f>IF('Données projet'!$A$62&gt;35,AI11+AH12-AQ11,IF(A12&lt;'Données projet'!$A$62,$AF$205^A12,IF(A12='Données projet'!$A$62,'Données projet'!$B$62,AI11+AH12-AQ11)))</f>
        <v>53.599999999999994</v>
      </c>
      <c r="AJ12" s="14">
        <f>AI12*VLOOKUP('Données projet'!$B$10,Paramètres!$A$1:$I$89,3,0)*VLOOKUP('Données projet'!$B$10,Paramètres!$A$1:$I$89,5,0)</f>
        <v>48.497279999999989</v>
      </c>
      <c r="AK12" s="14">
        <f t="shared" si="35"/>
        <v>14.224989131913244</v>
      </c>
      <c r="AL12" s="22">
        <f t="shared" si="4"/>
        <v>109.24128540474889</v>
      </c>
      <c r="AM12" s="62">
        <f t="shared" si="5"/>
        <v>298.59924415730495</v>
      </c>
      <c r="AN12" s="62">
        <f ca="1">AVERAGE(OFFSET($AM$3,0,0,'Données projet'!$E$10+1,1))-AVERAGE(OFFSET($H$3,0,0,'Données projet'!$E$10+1,1))</f>
        <v>254.64144953102331</v>
      </c>
      <c r="AO12" s="62">
        <f t="shared" si="36"/>
        <v>361.41009011468407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0.42685157616747771</v>
      </c>
      <c r="AX12" s="23">
        <f t="shared" si="6"/>
        <v>0.42685157616747771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3.5560106481415956</v>
      </c>
      <c r="BF12" s="14">
        <f t="shared" si="37"/>
        <v>1.4137838564527014</v>
      </c>
      <c r="BG12" s="22">
        <f t="shared" si="7"/>
        <v>8.6557254288350673</v>
      </c>
      <c r="BH12" s="62">
        <f t="shared" si="8"/>
        <v>198.01368418139114</v>
      </c>
      <c r="BI12" s="62">
        <f ca="1">AVERAGE(OFFSET($BH$3,0,0,'Données projet'!$E$11+1,1))-AVERAGE(OFFSET($H$3,0,0,'Données projet'!$E$11+1,1))</f>
        <v>352.34406861564418</v>
      </c>
      <c r="BJ12" s="62">
        <f t="shared" si="38"/>
        <v>182.40373266220317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5.2</v>
      </c>
      <c r="BY12" s="13">
        <f>IF('Données projet'!$A$114&gt;35,BY11+BX12-CG11,IF(A12&lt;'Données projet'!$A$114,$BV$205^A12,IF(A12='Données projet'!$A$114,'Données projet'!$B$114,BY11+BX12-CG11)))</f>
        <v>8.084720357497293</v>
      </c>
      <c r="BZ12" s="14">
        <f>BY12*VLOOKUP('Données projet'!$B$12,Paramètres!$A$1:$I$89,3,0)*VLOOKUP('Données projet'!$B$12,Paramètres!$A$1:$I$89,5,0)</f>
        <v>7.0628117043096363</v>
      </c>
      <c r="CA12" s="14">
        <f t="shared" si="39"/>
        <v>2.5924398999517377</v>
      </c>
      <c r="CB12" s="22">
        <f t="shared" si="10"/>
        <v>16.81622987742189</v>
      </c>
      <c r="CC12" s="62">
        <f t="shared" si="11"/>
        <v>206.17418862997795</v>
      </c>
      <c r="CD12" s="62">
        <f ca="1">AVERAGE(OFFSET($CC$3,0,0,'Données projet'!$E$12+1,1))-AVERAGE(OFFSET($H$3,0,0,'Données projet'!$E$12+1,1))</f>
        <v>325.33012514933523</v>
      </c>
      <c r="CE12" s="62">
        <f t="shared" si="40"/>
        <v>332.38915219929675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4.3703703703703702</v>
      </c>
      <c r="N13" s="14">
        <f>IF('Données projet'!$A$36&gt;35,N12+M13-V12,IF(A13&lt;'Données projet'!$A$36,$K$205^A13,IF(A13='Données projet'!$A$36,'Données projet'!$B$36,N12+M13-V12)))</f>
        <v>5.8528003047504482</v>
      </c>
      <c r="O13" s="14">
        <f>N13*VLOOKUP('Données projet'!$B$9,Paramètres!$A$1:$I$89,3,0)*VLOOKUP('Données projet'!$B$9,Paramètres!$A$1:$I$89,5,0)</f>
        <v>3.499974582240768</v>
      </c>
      <c r="P13" s="14">
        <f t="shared" si="33"/>
        <v>1.3940803381250744</v>
      </c>
      <c r="Q13" s="22">
        <f t="shared" si="2"/>
        <v>8.5238123196371749</v>
      </c>
      <c r="R13" s="62">
        <f t="shared" si="0"/>
        <v>200.46247430468208</v>
      </c>
      <c r="S13" s="62">
        <f ca="1">AVERAGE(OFFSET($R$3,0,0,'Données projet'!$E$9+1,1))-AVERAGE(OFFSET($H$3,0,0,'Données projet'!$E$9+1,1))</f>
        <v>319.74550658573207</v>
      </c>
      <c r="T13" s="62">
        <f t="shared" si="34"/>
        <v>231.35643408122294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62</v>
      </c>
      <c r="AG13" s="13">
        <f>VLOOKUP(A13,'Données projet'!$A$61:$I$81,9,0)</f>
        <v>8.4</v>
      </c>
      <c r="AH13" s="13">
        <f t="array" ref="AH13">INDEX(AG:AG,MIN(IF(ISNUMBER(AG13:AG209),ROW(AG13:AG209),"")))</f>
        <v>8.4</v>
      </c>
      <c r="AI13" s="14">
        <f>IF('Données projet'!$A$62&gt;35,AI12+AH13-AQ12,IF(A13&lt;'Données projet'!$A$62,$AF$205^A13,IF(A13='Données projet'!$A$62,'Données projet'!$B$62,AI12+AH13-AQ12)))</f>
        <v>61.999999999999993</v>
      </c>
      <c r="AJ13" s="14">
        <f>AI13*VLOOKUP('Données projet'!$B$10,Paramètres!$A$1:$I$89,3,0)*VLOOKUP('Données projet'!$B$10,Paramètres!$A$1:$I$89,5,0)</f>
        <v>56.097599999999993</v>
      </c>
      <c r="AK13" s="14">
        <f t="shared" si="35"/>
        <v>16.177791426098278</v>
      </c>
      <c r="AL13" s="22">
        <f t="shared" si="4"/>
        <v>125.87964006712114</v>
      </c>
      <c r="AM13" s="62">
        <f t="shared" si="5"/>
        <v>317.81830205216602</v>
      </c>
      <c r="AN13" s="62">
        <f ca="1">AVERAGE(OFFSET($AM$3,0,0,'Données projet'!$E$10+1,1))-AVERAGE(OFFSET($H$3,0,0,'Données projet'!$E$10+1,1))</f>
        <v>254.64144953102331</v>
      </c>
      <c r="AO13" s="62">
        <f t="shared" si="36"/>
        <v>361.41009011468407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15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13.107376929092517</v>
      </c>
      <c r="AX13" s="23">
        <f t="shared" si="6"/>
        <v>13.107376929092517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4.0742521457256036</v>
      </c>
      <c r="BF13" s="14">
        <f t="shared" si="37"/>
        <v>1.5943746914599719</v>
      </c>
      <c r="BG13" s="22">
        <f t="shared" si="7"/>
        <v>9.8728584080982102</v>
      </c>
      <c r="BH13" s="62">
        <f t="shared" si="8"/>
        <v>201.8115203931431</v>
      </c>
      <c r="BI13" s="62">
        <f ca="1">AVERAGE(OFFSET($BH$3,0,0,'Données projet'!$E$11+1,1))-AVERAGE(OFFSET($H$3,0,0,'Données projet'!$E$11+1,1))</f>
        <v>352.34406861564418</v>
      </c>
      <c r="BJ13" s="62">
        <f t="shared" si="38"/>
        <v>182.40373266220317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5.2</v>
      </c>
      <c r="BY13" s="13">
        <f>IF('Données projet'!$A$114&gt;35,BY12+BX13-CG12,IF(A13&lt;'Données projet'!$A$114,$BV$205^A13,IF(A13='Données projet'!$A$114,'Données projet'!$B$114,BY12+BX13-CG12)))</f>
        <v>10.198039027185574</v>
      </c>
      <c r="BZ13" s="14">
        <f>BY13*VLOOKUP('Données projet'!$B$12,Paramètres!$A$1:$I$89,3,0)*VLOOKUP('Données projet'!$B$12,Paramètres!$A$1:$I$89,5,0)</f>
        <v>8.9090068941493197</v>
      </c>
      <c r="CA13" s="14">
        <f t="shared" si="39"/>
        <v>3.1828870698057665</v>
      </c>
      <c r="CB13" s="22">
        <f t="shared" si="10"/>
        <v>21.060048653888444</v>
      </c>
      <c r="CC13" s="62">
        <f t="shared" si="11"/>
        <v>212.99871063893335</v>
      </c>
      <c r="CD13" s="62">
        <f ca="1">AVERAGE(OFFSET($CC$3,0,0,'Données projet'!$E$12+1,1))-AVERAGE(OFFSET($H$3,0,0,'Données projet'!$E$12+1,1))</f>
        <v>325.33012514933523</v>
      </c>
      <c r="CE13" s="62">
        <f t="shared" si="40"/>
        <v>332.38915219929675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4.3703703703703702</v>
      </c>
      <c r="N14" s="14">
        <f>IF('Données projet'!$A$36&gt;35,N13+M14-V13,IF(A14&lt;'Données projet'!$A$36,$K$205^A14,IF(A14='Données projet'!$A$36,'Données projet'!$B$36,N13+M14-V13)))</f>
        <v>6.9839332044678839</v>
      </c>
      <c r="O14" s="14">
        <f>N14*VLOOKUP('Données projet'!$B$9,Paramètres!$A$1:$I$89,3,0)*VLOOKUP('Données projet'!$B$9,Paramètres!$A$1:$I$89,5,0)</f>
        <v>4.1763920562717951</v>
      </c>
      <c r="P14" s="14">
        <f t="shared" si="33"/>
        <v>1.629641437588379</v>
      </c>
      <c r="Q14" s="22">
        <f t="shared" si="2"/>
        <v>10.112175001806468</v>
      </c>
      <c r="R14" s="62">
        <f t="shared" si="0"/>
        <v>204.6079736109206</v>
      </c>
      <c r="S14" s="62">
        <f ca="1">AVERAGE(OFFSET($R$3,0,0,'Données projet'!$E$9+1,1))-AVERAGE(OFFSET($H$3,0,0,'Données projet'!$E$9+1,1))</f>
        <v>319.74550658573207</v>
      </c>
      <c r="T14" s="62">
        <f t="shared" si="34"/>
        <v>231.35643408122294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8.4</v>
      </c>
      <c r="AI14" s="14">
        <f>IF('Données projet'!$A$62&gt;35,AI13+AH14-AQ13,IF(A14&lt;'Données projet'!$A$62,$AF$205^A14,IF(A14='Données projet'!$A$62,'Données projet'!$B$62,AI13+AH14-AQ13)))</f>
        <v>55.399999999999991</v>
      </c>
      <c r="AJ14" s="14">
        <f>AI14*VLOOKUP('Données projet'!$B$10,Paramètres!$A$1:$I$89,3,0)*VLOOKUP('Données projet'!$B$10,Paramètres!$A$1:$I$89,5,0)</f>
        <v>50.125919999999986</v>
      </c>
      <c r="AK14" s="14">
        <f t="shared" si="35"/>
        <v>14.646274290627822</v>
      </c>
      <c r="AL14" s="22">
        <f t="shared" si="4"/>
        <v>112.81157172284342</v>
      </c>
      <c r="AM14" s="62">
        <f t="shared" si="5"/>
        <v>307.30737033195754</v>
      </c>
      <c r="AN14" s="62">
        <f ca="1">AVERAGE(OFFSET($AM$3,0,0,'Données projet'!$E$10+1,1))-AVERAGE(OFFSET($H$3,0,0,'Données projet'!$E$10+1,1))</f>
        <v>254.64144953102331</v>
      </c>
      <c r="AO14" s="62">
        <f t="shared" si="36"/>
        <v>361.41009011468407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9.268315110129425</v>
      </c>
      <c r="AX14" s="23">
        <f t="shared" si="6"/>
        <v>9.268315110129425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4.6680204840288511</v>
      </c>
      <c r="BF14" s="14">
        <f t="shared" si="37"/>
        <v>1.798033444197221</v>
      </c>
      <c r="BG14" s="22">
        <f t="shared" si="7"/>
        <v>11.26171059166041</v>
      </c>
      <c r="BH14" s="62">
        <f t="shared" si="8"/>
        <v>205.75750920077454</v>
      </c>
      <c r="BI14" s="62">
        <f ca="1">AVERAGE(OFFSET($BH$3,0,0,'Données projet'!$E$11+1,1))-AVERAGE(OFFSET($H$3,0,0,'Données projet'!$E$11+1,1))</f>
        <v>352.34406861564418</v>
      </c>
      <c r="BJ14" s="62">
        <f t="shared" si="38"/>
        <v>182.40373266220317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5.2</v>
      </c>
      <c r="BY14" s="13">
        <f>IF('Données projet'!$A$114&gt;35,BY13+BX14-CG13,IF(A14&lt;'Données projet'!$A$114,$BV$205^A14,IF(A14='Données projet'!$A$114,'Données projet'!$B$114,BY13+BX14-CG13)))</f>
        <v>12.863772078839638</v>
      </c>
      <c r="BZ14" s="14">
        <f>BY14*VLOOKUP('Données projet'!$B$12,Paramètres!$A$1:$I$89,3,0)*VLOOKUP('Données projet'!$B$12,Paramètres!$A$1:$I$89,5,0)</f>
        <v>11.237791288074309</v>
      </c>
      <c r="CA14" s="14">
        <f t="shared" si="39"/>
        <v>3.907812906029311</v>
      </c>
      <c r="CB14" s="22">
        <f t="shared" si="10"/>
        <v>26.378593971397137</v>
      </c>
      <c r="CC14" s="62">
        <f t="shared" si="11"/>
        <v>220.87439258051126</v>
      </c>
      <c r="CD14" s="62">
        <f ca="1">AVERAGE(OFFSET($CC$3,0,0,'Données projet'!$E$12+1,1))-AVERAGE(OFFSET($H$3,0,0,'Données projet'!$E$12+1,1))</f>
        <v>325.33012514933523</v>
      </c>
      <c r="CE14" s="62">
        <f t="shared" si="40"/>
        <v>332.38915219929675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4.3703703703703702</v>
      </c>
      <c r="N15" s="14">
        <f>IF('Données projet'!$A$36&gt;35,N14+M15-V14,IF(A15&lt;'Données projet'!$A$36,$K$205^A15,IF(A15='Données projet'!$A$36,'Données projet'!$B$36,N14+M15-V14)))</f>
        <v>8.3336728514178713</v>
      </c>
      <c r="O15" s="14">
        <f>N15*VLOOKUP('Données projet'!$B$9,Paramètres!$A$1:$I$89,3,0)*VLOOKUP('Données projet'!$B$9,Paramètres!$A$1:$I$89,5,0)</f>
        <v>4.983536365147887</v>
      </c>
      <c r="P15" s="14">
        <f t="shared" si="33"/>
        <v>1.9050058611951031</v>
      </c>
      <c r="Q15" s="22">
        <f t="shared" si="2"/>
        <v>11.997544377547372</v>
      </c>
      <c r="R15" s="62">
        <f t="shared" si="0"/>
        <v>209.02732183028024</v>
      </c>
      <c r="S15" s="62">
        <f ca="1">AVERAGE(OFFSET($R$3,0,0,'Données projet'!$E$9+1,1))-AVERAGE(OFFSET($H$3,0,0,'Données projet'!$E$9+1,1))</f>
        <v>319.74550658573207</v>
      </c>
      <c r="T15" s="62">
        <f t="shared" si="34"/>
        <v>231.35643408122294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8.4</v>
      </c>
      <c r="AI15" s="14">
        <f>IF('Données projet'!$A$62&gt;35,AI14+AH15-AQ14,IF(A15&lt;'Données projet'!$A$62,$AF$205^A15,IF(A15='Données projet'!$A$62,'Données projet'!$B$62,AI14+AH15-AQ14)))</f>
        <v>63.79999999999999</v>
      </c>
      <c r="AJ15" s="14">
        <f>AI15*VLOOKUP('Données projet'!$B$10,Paramètres!$A$1:$I$89,3,0)*VLOOKUP('Données projet'!$B$10,Paramètres!$A$1:$I$89,5,0)</f>
        <v>57.72623999999999</v>
      </c>
      <c r="AK15" s="14">
        <f t="shared" si="35"/>
        <v>16.59210497713789</v>
      </c>
      <c r="AL15" s="22">
        <f t="shared" si="4"/>
        <v>129.43778416851515</v>
      </c>
      <c r="AM15" s="62">
        <f t="shared" si="5"/>
        <v>326.46756162124802</v>
      </c>
      <c r="AN15" s="62">
        <f ca="1">AVERAGE(OFFSET($AM$3,0,0,'Données projet'!$E$10+1,1))-AVERAGE(OFFSET($H$3,0,0,'Données projet'!$E$10+1,1))</f>
        <v>254.64144953102331</v>
      </c>
      <c r="AO15" s="62">
        <f t="shared" si="36"/>
        <v>361.41009011468407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6.5536884645462603</v>
      </c>
      <c r="AX15" s="23">
        <f t="shared" si="6"/>
        <v>6.5536884645462603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5.3483227006884695</v>
      </c>
      <c r="BF15" s="14">
        <f t="shared" si="37"/>
        <v>2.027706713966543</v>
      </c>
      <c r="BG15" s="22">
        <f t="shared" si="7"/>
        <v>12.846584563857478</v>
      </c>
      <c r="BH15" s="62">
        <f t="shared" si="8"/>
        <v>209.87636201659035</v>
      </c>
      <c r="BI15" s="62">
        <f ca="1">AVERAGE(OFFSET($BH$3,0,0,'Données projet'!$E$11+1,1))-AVERAGE(OFFSET($H$3,0,0,'Données projet'!$E$11+1,1))</f>
        <v>352.34406861564418</v>
      </c>
      <c r="BJ15" s="62">
        <f t="shared" si="38"/>
        <v>182.40373266220317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5.2</v>
      </c>
      <c r="BY15" s="13">
        <f>IF('Données projet'!$A$114&gt;35,BY14+BX15-CG14,IF(A15&lt;'Données projet'!$A$114,$BV$205^A15,IF(A15='Données projet'!$A$114,'Données projet'!$B$114,BY14+BX15-CG14)))</f>
        <v>16.226318771208117</v>
      </c>
      <c r="BZ15" s="14">
        <f>BY15*VLOOKUP('Données projet'!$B$12,Paramètres!$A$1:$I$89,3,0)*VLOOKUP('Données projet'!$B$12,Paramètres!$A$1:$I$89,5,0)</f>
        <v>14.175312078527414</v>
      </c>
      <c r="CA15" s="14">
        <f t="shared" si="39"/>
        <v>4.7978459095820662</v>
      </c>
      <c r="CB15" s="22">
        <f t="shared" si="10"/>
        <v>33.044916829290678</v>
      </c>
      <c r="CC15" s="62">
        <f t="shared" si="11"/>
        <v>230.07469428202356</v>
      </c>
      <c r="CD15" s="62">
        <f ca="1">AVERAGE(OFFSET($CC$3,0,0,'Données projet'!$E$12+1,1))-AVERAGE(OFFSET($H$3,0,0,'Données projet'!$E$12+1,1))</f>
        <v>325.33012514933523</v>
      </c>
      <c r="CE15" s="62">
        <f t="shared" si="40"/>
        <v>332.38915219929675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4.3703703703703702</v>
      </c>
      <c r="N16" s="14">
        <f>IF('Données projet'!$A$36&gt;35,N15+M16-V15,IF(A16&lt;'Données projet'!$A$36,$K$205^A16,IF(A16='Données projet'!$A$36,'Données projet'!$B$36,N15+M16-V15)))</f>
        <v>9.944267959210924</v>
      </c>
      <c r="O16" s="14">
        <f>N16*VLOOKUP('Données projet'!$B$9,Paramètres!$A$1:$I$89,3,0)*VLOOKUP('Données projet'!$B$9,Paramètres!$A$1:$I$89,5,0)</f>
        <v>5.9466722396081328</v>
      </c>
      <c r="P16" s="14">
        <f t="shared" si="33"/>
        <v>2.2268992721234029</v>
      </c>
      <c r="Q16" s="22">
        <f t="shared" si="2"/>
        <v>14.235637049599092</v>
      </c>
      <c r="R16" s="62">
        <f t="shared" si="0"/>
        <v>213.7766373012179</v>
      </c>
      <c r="S16" s="62">
        <f ca="1">AVERAGE(OFFSET($R$3,0,0,'Données projet'!$E$9+1,1))-AVERAGE(OFFSET($H$3,0,0,'Données projet'!$E$9+1,1))</f>
        <v>319.74550658573207</v>
      </c>
      <c r="T16" s="62">
        <f t="shared" si="34"/>
        <v>231.35643408122294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8.4</v>
      </c>
      <c r="AI16" s="14">
        <f>IF('Données projet'!$A$62&gt;35,AI15+AH16-AQ15,IF(A16&lt;'Données projet'!$A$62,$AF$205^A16,IF(A16='Données projet'!$A$62,'Données projet'!$B$62,AI15+AH16-AQ15)))</f>
        <v>72.199999999999989</v>
      </c>
      <c r="AJ16" s="14">
        <f>AI16*VLOOKUP('Données projet'!$B$10,Paramètres!$A$1:$I$89,3,0)*VLOOKUP('Données projet'!$B$10,Paramètres!$A$1:$I$89,5,0)</f>
        <v>65.326559999999986</v>
      </c>
      <c r="AK16" s="14">
        <f t="shared" si="35"/>
        <v>18.508251950337144</v>
      </c>
      <c r="AL16" s="22">
        <f t="shared" si="4"/>
        <v>146.0122974801705</v>
      </c>
      <c r="AM16" s="62">
        <f t="shared" si="5"/>
        <v>345.55329773178931</v>
      </c>
      <c r="AN16" s="62">
        <f ca="1">AVERAGE(OFFSET($AM$3,0,0,'Données projet'!$E$10+1,1))-AVERAGE(OFFSET($H$3,0,0,'Données projet'!$E$10+1,1))</f>
        <v>254.64144953102331</v>
      </c>
      <c r="AO16" s="62">
        <f t="shared" si="36"/>
        <v>361.41009011468407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4.6341575550647134</v>
      </c>
      <c r="AX16" s="23">
        <f t="shared" si="6"/>
        <v>4.6341575550647134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6.127769963428209</v>
      </c>
      <c r="BF16" s="14">
        <f t="shared" si="37"/>
        <v>2.286717486337261</v>
      </c>
      <c r="BG16" s="22">
        <f t="shared" si="7"/>
        <v>14.655232308341526</v>
      </c>
      <c r="BH16" s="62">
        <f t="shared" si="8"/>
        <v>214.19623255996035</v>
      </c>
      <c r="BI16" s="62">
        <f ca="1">AVERAGE(OFFSET($BH$3,0,0,'Données projet'!$E$11+1,1))-AVERAGE(OFFSET($H$3,0,0,'Données projet'!$E$11+1,1))</f>
        <v>352.34406861564418</v>
      </c>
      <c r="BJ16" s="62">
        <f t="shared" si="38"/>
        <v>182.40373266220317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5.2</v>
      </c>
      <c r="BY16" s="13">
        <f>IF('Données projet'!$A$114&gt;35,BY15+BX16-CG15,IF(A16&lt;'Données projet'!$A$114,$BV$205^A16,IF(A16='Données projet'!$A$114,'Données projet'!$B$114,BY15+BX16-CG15)))</f>
        <v>20.467823842896554</v>
      </c>
      <c r="BZ16" s="14">
        <f>BY16*VLOOKUP('Données projet'!$B$12,Paramètres!$A$1:$I$89,3,0)*VLOOKUP('Données projet'!$B$12,Paramètres!$A$1:$I$89,5,0)</f>
        <v>17.880690909154431</v>
      </c>
      <c r="CA16" s="14">
        <f t="shared" si="39"/>
        <v>5.890590446788579</v>
      </c>
      <c r="CB16" s="22">
        <f t="shared" si="10"/>
        <v>41.401648361600742</v>
      </c>
      <c r="CC16" s="62">
        <f t="shared" si="11"/>
        <v>240.94264861321955</v>
      </c>
      <c r="CD16" s="62">
        <f ca="1">AVERAGE(OFFSET($CC$3,0,0,'Données projet'!$E$12+1,1))-AVERAGE(OFFSET($H$3,0,0,'Données projet'!$E$12+1,1))</f>
        <v>325.33012514933523</v>
      </c>
      <c r="CE16" s="62">
        <f t="shared" si="40"/>
        <v>332.38915219929675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4.3703703703703702</v>
      </c>
      <c r="N17" s="14">
        <f>IF('Données projet'!$A$36&gt;35,N16+M17-V16,IF(A17&lt;'Données projet'!$A$36,$K$205^A17,IF(A17='Données projet'!$A$36,'Données projet'!$B$36,N16+M17-V16)))</f>
        <v>11.866132377366407</v>
      </c>
      <c r="O17" s="14">
        <f>N17*VLOOKUP('Données projet'!$B$9,Paramètres!$A$1:$I$89,3,0)*VLOOKUP('Données projet'!$B$9,Paramètres!$A$1:$I$89,5,0)</f>
        <v>7.0959471616651122</v>
      </c>
      <c r="P17" s="14">
        <f t="shared" si="33"/>
        <v>2.6031837849951125</v>
      </c>
      <c r="Q17" s="22">
        <f t="shared" si="2"/>
        <v>16.892653065433223</v>
      </c>
      <c r="R17" s="62">
        <f t="shared" si="0"/>
        <v>218.92251483770642</v>
      </c>
      <c r="S17" s="62">
        <f ca="1">AVERAGE(OFFSET($R$3,0,0,'Données projet'!$E$9+1,1))-AVERAGE(OFFSET($H$3,0,0,'Données projet'!$E$9+1,1))</f>
        <v>319.74550658573207</v>
      </c>
      <c r="T17" s="62">
        <f t="shared" si="34"/>
        <v>231.35643408122294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8.4</v>
      </c>
      <c r="AI17" s="14">
        <f>IF('Données projet'!$A$62&gt;35,AI16+AH17-AQ16,IF(A17&lt;'Données projet'!$A$62,$AF$205^A17,IF(A17='Données projet'!$A$62,'Données projet'!$B$62,AI16+AH17-AQ16)))</f>
        <v>80.599999999999994</v>
      </c>
      <c r="AJ17" s="14">
        <f>AI17*VLOOKUP('Données projet'!$B$10,Paramètres!$A$1:$I$89,3,0)*VLOOKUP('Données projet'!$B$10,Paramètres!$A$1:$I$89,5,0)</f>
        <v>72.926879999999983</v>
      </c>
      <c r="AK17" s="14">
        <f t="shared" si="35"/>
        <v>20.398563182833673</v>
      </c>
      <c r="AL17" s="22">
        <f t="shared" si="4"/>
        <v>162.54181354343527</v>
      </c>
      <c r="AM17" s="62">
        <f t="shared" si="5"/>
        <v>364.57167531570849</v>
      </c>
      <c r="AN17" s="62">
        <f ca="1">AVERAGE(OFFSET($AM$3,0,0,'Données projet'!$E$10+1,1))-AVERAGE(OFFSET($H$3,0,0,'Données projet'!$E$10+1,1))</f>
        <v>254.64144953102331</v>
      </c>
      <c r="AO17" s="62">
        <f t="shared" si="36"/>
        <v>361.41009011468407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3.2768442322731306</v>
      </c>
      <c r="AX17" s="23">
        <f t="shared" si="6"/>
        <v>3.2768442322731306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7.0208113507921537</v>
      </c>
      <c r="BF17" s="14">
        <f t="shared" si="37"/>
        <v>2.5788132111530211</v>
      </c>
      <c r="BG17" s="22">
        <f t="shared" si="7"/>
        <v>16.719346112054513</v>
      </c>
      <c r="BH17" s="62">
        <f t="shared" si="8"/>
        <v>218.74920788432772</v>
      </c>
      <c r="BI17" s="62">
        <f ca="1">AVERAGE(OFFSET($BH$3,0,0,'Données projet'!$E$11+1,1))-AVERAGE(OFFSET($H$3,0,0,'Données projet'!$E$11+1,1))</f>
        <v>352.34406861564418</v>
      </c>
      <c r="BJ17" s="62">
        <f t="shared" si="38"/>
        <v>182.40373266220317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5.2</v>
      </c>
      <c r="BY17" s="13">
        <f>IF('Données projet'!$A$114&gt;35,BY16+BX17-CG16,IF(A17&lt;'Données projet'!$A$114,$BV$205^A17,IF(A17='Données projet'!$A$114,'Données projet'!$B$114,BY16+BX17-CG16)))</f>
        <v>25.8180440536639</v>
      </c>
      <c r="BZ17" s="14">
        <f>BY17*VLOOKUP('Données projet'!$B$12,Paramètres!$A$1:$I$89,3,0)*VLOOKUP('Données projet'!$B$12,Paramètres!$A$1:$I$89,5,0)</f>
        <v>22.554643285280786</v>
      </c>
      <c r="CA17" s="14">
        <f t="shared" si="39"/>
        <v>7.2322155537545054</v>
      </c>
      <c r="CB17" s="22">
        <f t="shared" si="10"/>
        <v>51.87877914465313</v>
      </c>
      <c r="CC17" s="62">
        <f t="shared" si="11"/>
        <v>253.90864091692632</v>
      </c>
      <c r="CD17" s="62">
        <f ca="1">AVERAGE(OFFSET($CC$3,0,0,'Données projet'!$E$12+1,1))-AVERAGE(OFFSET($H$3,0,0,'Données projet'!$E$12+1,1))</f>
        <v>325.33012514933523</v>
      </c>
      <c r="CE17" s="62">
        <f t="shared" si="40"/>
        <v>332.38915219929675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4.3703703703703702</v>
      </c>
      <c r="N18" s="14">
        <f>IF('Données projet'!$A$36&gt;35,N17+M18-V17,IF(A18&lt;'Données projet'!$A$36,$K$205^A18,IF(A18='Données projet'!$A$36,'Données projet'!$B$36,N17+M18-V17)))</f>
        <v>14.159423114374338</v>
      </c>
      <c r="O18" s="14">
        <f>N18*VLOOKUP('Données projet'!$B$9,Paramètres!$A$1:$I$89,3,0)*VLOOKUP('Données projet'!$B$9,Paramètres!$A$1:$I$89,5,0)</f>
        <v>8.4673350223958543</v>
      </c>
      <c r="P18" s="14">
        <f t="shared" si="33"/>
        <v>3.0430499948027987</v>
      </c>
      <c r="Q18" s="22">
        <f t="shared" si="2"/>
        <v>20.047253904954317</v>
      </c>
      <c r="R18" s="62">
        <f t="shared" si="0"/>
        <v>224.54400383783536</v>
      </c>
      <c r="S18" s="62">
        <f ca="1">AVERAGE(OFFSET($R$3,0,0,'Données projet'!$E$9+1,1))-AVERAGE(OFFSET($H$3,0,0,'Données projet'!$E$9+1,1))</f>
        <v>319.74550658573207</v>
      </c>
      <c r="T18" s="62">
        <f t="shared" si="34"/>
        <v>231.35643408122294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89</v>
      </c>
      <c r="AG18" s="13">
        <f>VLOOKUP(A18,'Données projet'!$A$61:$I$81,9,0)</f>
        <v>8.4</v>
      </c>
      <c r="AH18" s="13">
        <f t="array" ref="AH18">INDEX(AG:AG,MIN(IF(ISNUMBER(AG18:AG214),ROW(AG18:AG214),"")))</f>
        <v>8.4</v>
      </c>
      <c r="AI18" s="14">
        <f>IF('Données projet'!$A$62&gt;35,AI17+AH18-AQ17,IF(A18&lt;'Données projet'!$A$62,$AF$205^A18,IF(A18='Données projet'!$A$62,'Données projet'!$B$62,AI17+AH18-AQ17)))</f>
        <v>89</v>
      </c>
      <c r="AJ18" s="14">
        <f>AI18*VLOOKUP('Données projet'!$B$10,Paramètres!$A$1:$I$89,3,0)*VLOOKUP('Données projet'!$B$10,Paramètres!$A$1:$I$89,5,0)</f>
        <v>80.527199999999993</v>
      </c>
      <c r="AK18" s="14">
        <f t="shared" si="35"/>
        <v>22.266037950985503</v>
      </c>
      <c r="AL18" s="22">
        <f t="shared" si="4"/>
        <v>179.03155609796639</v>
      </c>
      <c r="AM18" s="62">
        <f t="shared" si="5"/>
        <v>383.52830603084743</v>
      </c>
      <c r="AN18" s="62">
        <f ca="1">AVERAGE(OFFSET($AM$3,0,0,'Données projet'!$E$10+1,1))-AVERAGE(OFFSET($H$3,0,0,'Données projet'!$E$10+1,1))</f>
        <v>254.64144953102331</v>
      </c>
      <c r="AO18" s="62">
        <f t="shared" si="36"/>
        <v>361.41009011468407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13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13.415219757886774</v>
      </c>
      <c r="AX18" s="23">
        <f t="shared" si="6"/>
        <v>13.415219757886774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8.044001703326904</v>
      </c>
      <c r="BF18" s="14">
        <f t="shared" si="37"/>
        <v>2.9082200218223746</v>
      </c>
      <c r="BG18" s="22">
        <f t="shared" si="7"/>
        <v>19.075119504634994</v>
      </c>
      <c r="BH18" s="62">
        <f t="shared" si="8"/>
        <v>223.57186943751603</v>
      </c>
      <c r="BI18" s="62">
        <f ca="1">AVERAGE(OFFSET($BH$3,0,0,'Données projet'!$E$11+1,1))-AVERAGE(OFFSET($H$3,0,0,'Données projet'!$E$11+1,1))</f>
        <v>352.34406861564418</v>
      </c>
      <c r="BJ18" s="62">
        <f t="shared" si="38"/>
        <v>182.40373266220317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5.2</v>
      </c>
      <c r="BY18" s="13">
        <f>IF('Données projet'!$A$114&gt;35,BY17+BX18-CG17,IF(A18&lt;'Données projet'!$A$114,$BV$205^A18,IF(A18='Données projet'!$A$114,'Données projet'!$B$114,BY17+BX18-CG17)))</f>
        <v>32.56679380638046</v>
      </c>
      <c r="BZ18" s="14">
        <f>BY18*VLOOKUP('Données projet'!$B$12,Paramètres!$A$1:$I$89,3,0)*VLOOKUP('Données projet'!$B$12,Paramètres!$A$1:$I$89,5,0)</f>
        <v>28.450351069253973</v>
      </c>
      <c r="CA18" s="14">
        <f t="shared" si="39"/>
        <v>8.8794056026224197</v>
      </c>
      <c r="CB18" s="22">
        <f t="shared" si="10"/>
        <v>65.015992870184718</v>
      </c>
      <c r="CC18" s="62">
        <f t="shared" si="11"/>
        <v>269.51274280306575</v>
      </c>
      <c r="CD18" s="62">
        <f ca="1">AVERAGE(OFFSET($CC$3,0,0,'Données projet'!$E$12+1,1))-AVERAGE(OFFSET($H$3,0,0,'Données projet'!$E$12+1,1))</f>
        <v>325.33012514933523</v>
      </c>
      <c r="CE18" s="62">
        <f t="shared" si="40"/>
        <v>332.38915219929675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4.3703703703703702</v>
      </c>
      <c r="N19" s="14">
        <f>IF('Données projet'!$A$36&gt;35,N18+M19-V18,IF(A19&lt;'Données projet'!$A$36,$K$205^A19,IF(A19='Données projet'!$A$36,'Données projet'!$B$36,N18+M19-V18)))</f>
        <v>16.895923335078734</v>
      </c>
      <c r="O19" s="14">
        <f>N19*VLOOKUP('Données projet'!$B$9,Paramètres!$A$1:$I$89,3,0)*VLOOKUP('Données projet'!$B$9,Paramètres!$A$1:$I$89,5,0)</f>
        <v>10.103762154377083</v>
      </c>
      <c r="P19" s="14">
        <f t="shared" si="33"/>
        <v>3.5572414534253478</v>
      </c>
      <c r="Q19" s="22">
        <f t="shared" si="2"/>
        <v>23.79291461692257</v>
      </c>
      <c r="R19" s="62">
        <f t="shared" si="0"/>
        <v>230.73496053903662</v>
      </c>
      <c r="S19" s="62">
        <f ca="1">AVERAGE(OFFSET($R$3,0,0,'Données projet'!$E$9+1,1))-AVERAGE(OFFSET($H$3,0,0,'Données projet'!$E$9+1,1))</f>
        <v>319.74550658573207</v>
      </c>
      <c r="T19" s="62">
        <f t="shared" si="34"/>
        <v>231.35643408122294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7.6</v>
      </c>
      <c r="AI19" s="14">
        <f>IF('Données projet'!$A$62&gt;35,AI18+AH19-AQ18,IF(A19&lt;'Données projet'!$A$62,$AF$205^A19,IF(A19='Données projet'!$A$62,'Données projet'!$B$62,AI18+AH19-AQ18)))</f>
        <v>83.6</v>
      </c>
      <c r="AJ19" s="14">
        <f>AI19*VLOOKUP('Données projet'!$B$10,Paramètres!$A$1:$I$89,3,0)*VLOOKUP('Données projet'!$B$10,Paramètres!$A$1:$I$89,5,0)</f>
        <v>75.641279999999995</v>
      </c>
      <c r="AK19" s="14">
        <f t="shared" si="35"/>
        <v>21.068004470152093</v>
      </c>
      <c r="AL19" s="22">
        <f t="shared" si="4"/>
        <v>168.4353371188482</v>
      </c>
      <c r="AM19" s="62">
        <f t="shared" si="5"/>
        <v>375.37738304096229</v>
      </c>
      <c r="AN19" s="62">
        <f ca="1">AVERAGE(OFFSET($AM$3,0,0,'Données projet'!$E$10+1,1))-AVERAGE(OFFSET($H$3,0,0,'Données projet'!$E$10+1,1))</f>
        <v>254.64144953102331</v>
      </c>
      <c r="AO19" s="62">
        <f t="shared" si="36"/>
        <v>361.41009011468407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9.4859928619094926</v>
      </c>
      <c r="AX19" s="23">
        <f t="shared" si="6"/>
        <v>9.4859928619094926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9.2163085105292541</v>
      </c>
      <c r="BF19" s="14">
        <f t="shared" si="37"/>
        <v>3.2797038803547029</v>
      </c>
      <c r="BG19" s="22">
        <f t="shared" si="7"/>
        <v>21.763888247456226</v>
      </c>
      <c r="BH19" s="62">
        <f t="shared" si="8"/>
        <v>228.7059341695703</v>
      </c>
      <c r="BI19" s="62">
        <f ca="1">AVERAGE(OFFSET($BH$3,0,0,'Données projet'!$E$11+1,1))-AVERAGE(OFFSET($H$3,0,0,'Données projet'!$E$11+1,1))</f>
        <v>352.34406861564418</v>
      </c>
      <c r="BJ19" s="62">
        <f t="shared" si="38"/>
        <v>182.40373266220317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5.2</v>
      </c>
      <c r="BY19" s="13">
        <f>IF('Données projet'!$A$114&gt;35,BY18+BX19-CG18,IF(A19&lt;'Données projet'!$A$114,$BV$205^A19,IF(A19='Données projet'!$A$114,'Données projet'!$B$114,BY18+BX19-CG18)))</f>
        <v>41.079644012645062</v>
      </c>
      <c r="BZ19" s="14">
        <f>BY19*VLOOKUP('Données projet'!$B$12,Paramètres!$A$1:$I$89,3,0)*VLOOKUP('Données projet'!$B$12,Paramètres!$A$1:$I$89,5,0)</f>
        <v>35.887177009446731</v>
      </c>
      <c r="CA19" s="14">
        <f t="shared" si="39"/>
        <v>10.90175524635071</v>
      </c>
      <c r="CB19" s="22">
        <f t="shared" si="10"/>
        <v>81.490723678847203</v>
      </c>
      <c r="CC19" s="62">
        <f t="shared" si="11"/>
        <v>288.43276960096125</v>
      </c>
      <c r="CD19" s="62">
        <f ca="1">AVERAGE(OFFSET($CC$3,0,0,'Données projet'!$E$12+1,1))-AVERAGE(OFFSET($H$3,0,0,'Données projet'!$E$12+1,1))</f>
        <v>325.33012514933523</v>
      </c>
      <c r="CE19" s="62">
        <f t="shared" si="40"/>
        <v>332.38915219929675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4.3703703703703702</v>
      </c>
      <c r="N20" s="14">
        <f>IF('Données projet'!$A$36&gt;35,N19+M20-V19,IF(A20&lt;'Données projet'!$A$36,$K$205^A20,IF(A20='Données projet'!$A$36,'Données projet'!$B$36,N19+M20-V19)))</f>
        <v>20.161289272799031</v>
      </c>
      <c r="O20" s="14">
        <f>N20*VLOOKUP('Données projet'!$B$9,Paramètres!$A$1:$I$89,3,0)*VLOOKUP('Données projet'!$B$9,Paramètres!$A$1:$I$89,5,0)</f>
        <v>12.056450985133822</v>
      </c>
      <c r="P20" s="14">
        <f t="shared" si="33"/>
        <v>4.1583170764789594</v>
      </c>
      <c r="Q20" s="22">
        <f t="shared" si="2"/>
        <v>28.240721040642256</v>
      </c>
      <c r="R20" s="62">
        <f t="shared" si="0"/>
        <v>237.60684535651498</v>
      </c>
      <c r="S20" s="62">
        <f ca="1">AVERAGE(OFFSET($R$3,0,0,'Données projet'!$E$9+1,1))-AVERAGE(OFFSET($H$3,0,0,'Données projet'!$E$9+1,1))</f>
        <v>319.74550658573207</v>
      </c>
      <c r="T20" s="62">
        <f t="shared" si="34"/>
        <v>231.35643408122294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7.6</v>
      </c>
      <c r="AI20" s="14">
        <f>IF('Données projet'!$A$62&gt;35,AI19+AH20-AQ19,IF(A20&lt;'Données projet'!$A$62,$AF$205^A20,IF(A20='Données projet'!$A$62,'Données projet'!$B$62,AI19+AH20-AQ19)))</f>
        <v>91.199999999999989</v>
      </c>
      <c r="AJ20" s="14">
        <f>AI20*VLOOKUP('Données projet'!$B$10,Paramètres!$A$1:$I$89,3,0)*VLOOKUP('Données projet'!$B$10,Paramètres!$A$1:$I$89,5,0)</f>
        <v>82.517759999999981</v>
      </c>
      <c r="AK20" s="14">
        <f t="shared" si="35"/>
        <v>22.751674941896663</v>
      </c>
      <c r="AL20" s="22">
        <f t="shared" si="4"/>
        <v>183.34426585713663</v>
      </c>
      <c r="AM20" s="62">
        <f t="shared" si="5"/>
        <v>392.71039017300939</v>
      </c>
      <c r="AN20" s="62">
        <f ca="1">AVERAGE(OFFSET($AM$3,0,0,'Données projet'!$E$10+1,1))-AVERAGE(OFFSET($H$3,0,0,'Données projet'!$E$10+1,1))</f>
        <v>254.64144953102331</v>
      </c>
      <c r="AO20" s="62">
        <f t="shared" si="36"/>
        <v>361.41009011468407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6.707609878943388</v>
      </c>
      <c r="AX20" s="23">
        <f t="shared" si="6"/>
        <v>6.707609878943388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10.559463522505677</v>
      </c>
      <c r="BF20" s="14">
        <f t="shared" si="37"/>
        <v>3.6986395328072152</v>
      </c>
      <c r="BG20" s="22">
        <f t="shared" si="7"/>
        <v>24.832862821336619</v>
      </c>
      <c r="BH20" s="62">
        <f t="shared" si="8"/>
        <v>234.19898713720934</v>
      </c>
      <c r="BI20" s="62">
        <f ca="1">AVERAGE(OFFSET($BH$3,0,0,'Données projet'!$E$11+1,1))-AVERAGE(OFFSET($H$3,0,0,'Données projet'!$E$11+1,1))</f>
        <v>352.34406861564418</v>
      </c>
      <c r="BJ20" s="62">
        <f t="shared" si="38"/>
        <v>182.40373266220317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5.2</v>
      </c>
      <c r="BY20" s="13">
        <f>IF('Données projet'!$A$114&gt;35,BY19+BX20-CG19,IF(A20&lt;'Données projet'!$A$114,$BV$205^A20,IF(A20='Données projet'!$A$114,'Données projet'!$B$114,BY19+BX20-CG19)))</f>
        <v>51.817724588996064</v>
      </c>
      <c r="BZ20" s="14">
        <f>BY20*VLOOKUP('Données projet'!$B$12,Paramètres!$A$1:$I$89,3,0)*VLOOKUP('Données projet'!$B$12,Paramètres!$A$1:$I$89,5,0)</f>
        <v>45.26796420094697</v>
      </c>
      <c r="CA20" s="14">
        <f t="shared" si="39"/>
        <v>13.384709829702446</v>
      </c>
      <c r="CB20" s="22">
        <f t="shared" si="10"/>
        <v>102.15340727004774</v>
      </c>
      <c r="CC20" s="62">
        <f t="shared" si="11"/>
        <v>311.51953158592045</v>
      </c>
      <c r="CD20" s="62">
        <f ca="1">AVERAGE(OFFSET($CC$3,0,0,'Données projet'!$E$12+1,1))-AVERAGE(OFFSET($H$3,0,0,'Données projet'!$E$12+1,1))</f>
        <v>325.33012514933523</v>
      </c>
      <c r="CE20" s="62">
        <f t="shared" si="40"/>
        <v>332.38915219929675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4.3703703703703702</v>
      </c>
      <c r="N21" s="14">
        <f>IF('Données projet'!$A$36&gt;35,N20+M21-V20,IF(A21&lt;'Données projet'!$A$36,$K$205^A21,IF(A21='Données projet'!$A$36,'Données projet'!$B$36,N20+M21-V20)))</f>
        <v>24.057731387639919</v>
      </c>
      <c r="O21" s="14">
        <f>N21*VLOOKUP('Données projet'!$B$9,Paramètres!$A$1:$I$89,3,0)*VLOOKUP('Données projet'!$B$9,Paramètres!$A$1:$I$89,5,0)</f>
        <v>14.386523369808673</v>
      </c>
      <c r="P21" s="14">
        <f t="shared" si="33"/>
        <v>4.8609578896833261</v>
      </c>
      <c r="Q21" s="22">
        <f t="shared" si="2"/>
        <v>33.522696526948565</v>
      </c>
      <c r="R21" s="62">
        <f t="shared" si="0"/>
        <v>245.29204971895166</v>
      </c>
      <c r="S21" s="62">
        <f ca="1">AVERAGE(OFFSET($R$3,0,0,'Données projet'!$E$9+1,1))-AVERAGE(OFFSET($H$3,0,0,'Données projet'!$E$9+1,1))</f>
        <v>319.74550658573207</v>
      </c>
      <c r="T21" s="62">
        <f t="shared" si="34"/>
        <v>231.35643408122294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7.6</v>
      </c>
      <c r="AI21" s="14">
        <f>IF('Données projet'!$A$62&gt;35,AI20+AH21-AQ20,IF(A21&lt;'Données projet'!$A$62,$AF$205^A21,IF(A21='Données projet'!$A$62,'Données projet'!$B$62,AI20+AH21-AQ20)))</f>
        <v>98.799999999999983</v>
      </c>
      <c r="AJ21" s="14">
        <f>AI21*VLOOKUP('Données projet'!$B$10,Paramètres!$A$1:$I$89,3,0)*VLOOKUP('Données projet'!$B$10,Paramètres!$A$1:$I$89,5,0)</f>
        <v>89.394239999999982</v>
      </c>
      <c r="AK21" s="14">
        <f t="shared" si="35"/>
        <v>24.419072895797868</v>
      </c>
      <c r="AL21" s="22">
        <f t="shared" si="4"/>
        <v>198.22485329351457</v>
      </c>
      <c r="AM21" s="62">
        <f t="shared" si="5"/>
        <v>409.99420648551768</v>
      </c>
      <c r="AN21" s="62">
        <f ca="1">AVERAGE(OFFSET($AM$3,0,0,'Données projet'!$E$10+1,1))-AVERAGE(OFFSET($H$3,0,0,'Données projet'!$E$10+1,1))</f>
        <v>254.64144953102331</v>
      </c>
      <c r="AO21" s="62">
        <f t="shared" si="36"/>
        <v>361.41009011468407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4.7429964309547472</v>
      </c>
      <c r="AX21" s="23">
        <f t="shared" si="6"/>
        <v>4.7429964309547472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12.098365604378504</v>
      </c>
      <c r="BF21" s="14">
        <f t="shared" si="37"/>
        <v>4.1710882728122609</v>
      </c>
      <c r="BG21" s="22">
        <f t="shared" si="7"/>
        <v>28.335965502773913</v>
      </c>
      <c r="BH21" s="62">
        <f t="shared" si="8"/>
        <v>240.10531869477703</v>
      </c>
      <c r="BI21" s="62">
        <f ca="1">AVERAGE(OFFSET($BH$3,0,0,'Données projet'!$E$11+1,1))-AVERAGE(OFFSET($H$3,0,0,'Données projet'!$E$11+1,1))</f>
        <v>352.34406861564418</v>
      </c>
      <c r="BJ21" s="62">
        <f t="shared" si="38"/>
        <v>182.40373266220317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5.2</v>
      </c>
      <c r="BY21" s="13">
        <f>IF('Données projet'!$A$114&gt;35,BY20+BX21-CG20,IF(A21&lt;'Données projet'!$A$114,$BV$205^A21,IF(A21='Données projet'!$A$114,'Données projet'!$B$114,BY20+BX21-CG20)))</f>
        <v>65.362703258931163</v>
      </c>
      <c r="BZ21" s="14">
        <f>BY21*VLOOKUP('Données projet'!$B$12,Paramètres!$A$1:$I$89,3,0)*VLOOKUP('Données projet'!$B$12,Paramètres!$A$1:$I$89,5,0)</f>
        <v>57.100857567002279</v>
      </c>
      <c r="CA21" s="14">
        <f t="shared" si="39"/>
        <v>16.433175500367497</v>
      </c>
      <c r="CB21" s="22">
        <f t="shared" si="10"/>
        <v>128.07177425900235</v>
      </c>
      <c r="CC21" s="62">
        <f t="shared" si="11"/>
        <v>339.84112745100549</v>
      </c>
      <c r="CD21" s="62">
        <f ca="1">AVERAGE(OFFSET($CC$3,0,0,'Données projet'!$E$12+1,1))-AVERAGE(OFFSET($H$3,0,0,'Données projet'!$E$12+1,1))</f>
        <v>325.33012514933523</v>
      </c>
      <c r="CE21" s="62">
        <f t="shared" si="40"/>
        <v>332.38915219929675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4.3703703703703702</v>
      </c>
      <c r="N22" s="14">
        <f>IF('Données projet'!$A$36&gt;35,N21+M22-V21,IF(A22&lt;'Données projet'!$A$36,$K$205^A22,IF(A22='Données projet'!$A$36,'Données projet'!$B$36,N21+M22-V21)))</f>
        <v>28.707213694944539</v>
      </c>
      <c r="O22" s="14">
        <f>N22*VLOOKUP('Données projet'!$B$9,Paramètres!$A$1:$I$89,3,0)*VLOOKUP('Données projet'!$B$9,Paramètres!$A$1:$I$89,5,0)</f>
        <v>17.166913789576835</v>
      </c>
      <c r="P22" s="14">
        <f t="shared" si="33"/>
        <v>5.6823256068972627</v>
      </c>
      <c r="Q22" s="22">
        <f t="shared" si="2"/>
        <v>39.79575861552572</v>
      </c>
      <c r="R22" s="62">
        <f t="shared" si="0"/>
        <v>253.94785285854925</v>
      </c>
      <c r="S22" s="62">
        <f ca="1">AVERAGE(OFFSET($R$3,0,0,'Données projet'!$E$9+1,1))-AVERAGE(OFFSET($H$3,0,0,'Données projet'!$E$9+1,1))</f>
        <v>319.74550658573207</v>
      </c>
      <c r="T22" s="62">
        <f t="shared" si="34"/>
        <v>231.35643408122294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7.6</v>
      </c>
      <c r="AI22" s="14">
        <f>IF('Données projet'!$A$62&gt;35,AI21+AH22-AQ21,IF(A22&lt;'Données projet'!$A$62,$AF$205^A22,IF(A22='Données projet'!$A$62,'Données projet'!$B$62,AI21+AH22-AQ21)))</f>
        <v>106.39999999999998</v>
      </c>
      <c r="AJ22" s="14">
        <f>AI22*VLOOKUP('Données projet'!$B$10,Paramètres!$A$1:$I$89,3,0)*VLOOKUP('Données projet'!$B$10,Paramètres!$A$1:$I$89,5,0)</f>
        <v>96.270719999999969</v>
      </c>
      <c r="AK22" s="14">
        <f t="shared" si="35"/>
        <v>26.071592384845928</v>
      </c>
      <c r="AL22" s="22">
        <f t="shared" si="4"/>
        <v>213.07952740360659</v>
      </c>
      <c r="AM22" s="62">
        <f t="shared" si="5"/>
        <v>427.23162164663012</v>
      </c>
      <c r="AN22" s="62">
        <f ca="1">AVERAGE(OFFSET($AM$3,0,0,'Données projet'!$E$10+1,1))-AVERAGE(OFFSET($H$3,0,0,'Données projet'!$E$10+1,1))</f>
        <v>254.64144953102331</v>
      </c>
      <c r="AO22" s="62">
        <f t="shared" si="36"/>
        <v>361.41009011468407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3.3538049394716944</v>
      </c>
      <c r="AX22" s="23">
        <f t="shared" si="6"/>
        <v>3.3538049394716944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13.861542301391113</v>
      </c>
      <c r="BF22" s="14">
        <f t="shared" si="37"/>
        <v>4.7038856382922933</v>
      </c>
      <c r="BG22" s="22">
        <f t="shared" si="7"/>
        <v>32.334786994948594</v>
      </c>
      <c r="BH22" s="62">
        <f t="shared" si="8"/>
        <v>246.48688123797211</v>
      </c>
      <c r="BI22" s="62">
        <f ca="1">AVERAGE(OFFSET($BH$3,0,0,'Données projet'!$E$11+1,1))-AVERAGE(OFFSET($H$3,0,0,'Données projet'!$E$11+1,1))</f>
        <v>352.34406861564418</v>
      </c>
      <c r="BJ22" s="62">
        <f t="shared" si="38"/>
        <v>182.40373266220317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5.2</v>
      </c>
      <c r="BY22" s="13">
        <f>IF('Données projet'!$A$114&gt;35,BY21+BX22-CG21,IF(A22&lt;'Données projet'!$A$114,$BV$205^A22,IF(A22='Données projet'!$A$114,'Données projet'!$B$114,BY21+BX22-CG21)))</f>
        <v>82.448293729639104</v>
      </c>
      <c r="BZ22" s="14">
        <f>BY22*VLOOKUP('Données projet'!$B$12,Paramètres!$A$1:$I$89,3,0)*VLOOKUP('Données projet'!$B$12,Paramètres!$A$1:$I$89,5,0)</f>
        <v>72.026829402212726</v>
      </c>
      <c r="CA22" s="14">
        <f t="shared" si="39"/>
        <v>20.175951549327085</v>
      </c>
      <c r="CB22" s="22">
        <f t="shared" si="10"/>
        <v>160.58651015726517</v>
      </c>
      <c r="CC22" s="62">
        <f t="shared" si="11"/>
        <v>374.73860440028869</v>
      </c>
      <c r="CD22" s="62">
        <f ca="1">AVERAGE(OFFSET($CC$3,0,0,'Données projet'!$E$12+1,1))-AVERAGE(OFFSET($H$3,0,0,'Données projet'!$E$12+1,1))</f>
        <v>325.33012514933523</v>
      </c>
      <c r="CE22" s="62">
        <f t="shared" si="40"/>
        <v>332.38915219929675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4.3703703703703702</v>
      </c>
      <c r="N23" s="14">
        <f>IF('Données projet'!$A$36&gt;35,N22+M23-V22,IF(A23&lt;'Données projet'!$A$36,$K$205^A23,IF(A23='Données projet'!$A$36,'Données projet'!$B$36,N22+M23-V22)))</f>
        <v>34.255271407286948</v>
      </c>
      <c r="O23" s="14">
        <f>N23*VLOOKUP('Données projet'!$B$9,Paramètres!$A$1:$I$89,3,0)*VLOOKUP('Données projet'!$B$9,Paramètres!$A$1:$I$89,5,0)</f>
        <v>20.484652301557595</v>
      </c>
      <c r="P23" s="14">
        <f t="shared" si="33"/>
        <v>6.6424817979453561</v>
      </c>
      <c r="Q23" s="22">
        <f t="shared" si="2"/>
        <v>47.246425223300974</v>
      </c>
      <c r="R23" s="62">
        <f t="shared" si="0"/>
        <v>263.76112811019669</v>
      </c>
      <c r="S23" s="62">
        <f ca="1">AVERAGE(OFFSET($R$3,0,0,'Données projet'!$E$9+1,1))-AVERAGE(OFFSET($H$3,0,0,'Données projet'!$E$9+1,1))</f>
        <v>319.74550658573207</v>
      </c>
      <c r="T23" s="62">
        <f t="shared" si="34"/>
        <v>231.35643408122294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114</v>
      </c>
      <c r="AG23" s="13">
        <f>VLOOKUP(A23,'Données projet'!$A$61:$I$81,9,0)</f>
        <v>7.6</v>
      </c>
      <c r="AH23" s="13">
        <f t="array" ref="AH23">INDEX(AG:AG,MIN(IF(ISNUMBER(AG23:AG219),ROW(AG23:AG219),"")))</f>
        <v>7.6</v>
      </c>
      <c r="AI23" s="14">
        <f>IF('Données projet'!$A$62&gt;35,AI22+AH23-AQ22,IF(A23&lt;'Données projet'!$A$62,$AF$205^A23,IF(A23='Données projet'!$A$62,'Données projet'!$B$62,AI22+AH23-AQ22)))</f>
        <v>113.99999999999997</v>
      </c>
      <c r="AJ23" s="14">
        <f>AI23*VLOOKUP('Données projet'!$B$10,Paramètres!$A$1:$I$89,3,0)*VLOOKUP('Données projet'!$B$10,Paramètres!$A$1:$I$89,5,0)</f>
        <v>103.14719999999997</v>
      </c>
      <c r="AK23" s="14">
        <f t="shared" si="35"/>
        <v>27.710417026801451</v>
      </c>
      <c r="AL23" s="22">
        <f t="shared" si="4"/>
        <v>227.91034965501248</v>
      </c>
      <c r="AM23" s="62">
        <f t="shared" si="5"/>
        <v>444.4250525419082</v>
      </c>
      <c r="AN23" s="62">
        <f ca="1">AVERAGE(OFFSET($AM$3,0,0,'Données projet'!$E$10+1,1))-AVERAGE(OFFSET($H$3,0,0,'Données projet'!$E$10+1,1))</f>
        <v>254.64144953102331</v>
      </c>
      <c r="AO23" s="62">
        <f t="shared" si="36"/>
        <v>361.41009011468407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10</v>
      </c>
      <c r="AR23" s="17">
        <f>IF(ISNA(VLOOKUP(A23,'Données projet'!$A$61:$I$81,5,0)),0%,VLOOKUP(A23,'Données projet'!$A$61:$I$81,5,0)*VLOOKUP('Données projet'!$B$10,Paramètres!$A$1:$I$89,7,0))</f>
        <v>0.03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0.9</v>
      </c>
      <c r="AU23" s="23">
        <f>EXP(-LN(2)/35)*AU22+(1-EXP(-LN(2)/35))/(LN(2)/35)*AQ23*AR23*VLOOKUP('Données projet'!$B$10,Paramètres!$A$1:$I$89,3,0)*0.475*44/12</f>
        <v>0.30006887982042396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10.054826586491972</v>
      </c>
      <c r="AX23" s="23">
        <f t="shared" si="6"/>
        <v>10.354895466312396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15.881678671019593</v>
      </c>
      <c r="BF23" s="14">
        <f t="shared" si="37"/>
        <v>5.3047403101862871</v>
      </c>
      <c r="BG23" s="22">
        <f t="shared" si="7"/>
        <v>36.899679725600237</v>
      </c>
      <c r="BH23" s="62">
        <f t="shared" si="8"/>
        <v>253.41438261249596</v>
      </c>
      <c r="BI23" s="62">
        <f ca="1">AVERAGE(OFFSET($BH$3,0,0,'Données projet'!$E$11+1,1))-AVERAGE(OFFSET($H$3,0,0,'Données projet'!$E$11+1,1))</f>
        <v>352.34406861564418</v>
      </c>
      <c r="BJ23" s="62">
        <f t="shared" si="38"/>
        <v>182.40373266220317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104</v>
      </c>
      <c r="BW23" s="13">
        <f>VLOOKUP(A23,'Données projet'!$A$113:$I$133,9,0)</f>
        <v>5.2</v>
      </c>
      <c r="BX23" s="13">
        <f t="array" ref="BX23">INDEX(BW:BW,MIN(IF(ISNUMBER(BW23:BW219),ROW(BW23:BW219),"")))</f>
        <v>5.2</v>
      </c>
      <c r="BY23" s="13">
        <f>IF('Données projet'!$A$114&gt;35,BY22+BX23-CG22,IF(A23&lt;'Données projet'!$A$114,$BV$205^A23,IF(A23='Données projet'!$A$114,'Données projet'!$B$114,BY22+BX23-CG22)))</f>
        <v>104</v>
      </c>
      <c r="BZ23" s="14">
        <f>BY23*VLOOKUP('Données projet'!$B$12,Paramètres!$A$1:$I$89,3,0)*VLOOKUP('Données projet'!$B$12,Paramètres!$A$1:$I$89,5,0)</f>
        <v>90.854400000000012</v>
      </c>
      <c r="CA23" s="14">
        <f t="shared" si="39"/>
        <v>24.771172249191284</v>
      </c>
      <c r="CB23" s="22">
        <f t="shared" si="10"/>
        <v>201.38120500067484</v>
      </c>
      <c r="CC23" s="62">
        <f t="shared" si="11"/>
        <v>417.89590788757056</v>
      </c>
      <c r="CD23" s="62">
        <f ca="1">AVERAGE(OFFSET($CC$3,0,0,'Données projet'!$E$12+1,1))-AVERAGE(OFFSET($H$3,0,0,'Données projet'!$E$12+1,1))</f>
        <v>325.33012514933523</v>
      </c>
      <c r="CE23" s="62">
        <f t="shared" si="40"/>
        <v>332.38915219929675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32</v>
      </c>
      <c r="CH23" s="17">
        <f>IF(ISNA(VLOOKUP(A23,'Données projet'!$A$113:$I$133,5,0)),0%,VLOOKUP(A23,'Données projet'!$A$113:$I$133,5,0)*VLOOKUP('Données projet'!$B$12,Paramètres!$A$1:$I$89,7,0))</f>
        <v>4.3000000000000003E-2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0.9</v>
      </c>
      <c r="CK23" s="23">
        <f>EXP(-LN(2)/35)*CK22+(1-EXP(-LN(2)/35))/(LN(2)/35)*CG23*CH23*VLOOKUP('Données projet'!$B$12,Paramètres!$A$1:$I$89,3,0)*0.475*44/12</f>
        <v>1.3288567588185398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23.738835242858897</v>
      </c>
      <c r="CN23" s="24">
        <f t="shared" si="12"/>
        <v>25.067692001677436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4.3703703703703702</v>
      </c>
      <c r="N24" s="14">
        <f>IF('Données projet'!$A$36&gt;35,N23+M24-V23,IF(A24&lt;'Données projet'!$A$36,$K$205^A24,IF(A24='Données projet'!$A$36,'Données projet'!$B$36,N23+M24-V23)))</f>
        <v>40.875566387466414</v>
      </c>
      <c r="O24" s="14">
        <f>N24*VLOOKUP('Données projet'!$B$9,Paramètres!$A$1:$I$89,3,0)*VLOOKUP('Données projet'!$B$9,Paramètres!$A$1:$I$89,5,0)</f>
        <v>24.443588699704918</v>
      </c>
      <c r="P24" s="14">
        <f t="shared" si="33"/>
        <v>7.7648778842379169</v>
      </c>
      <c r="Q24" s="22">
        <f t="shared" si="2"/>
        <v>56.096412633700432</v>
      </c>
      <c r="R24" s="62">
        <f t="shared" si="0"/>
        <v>274.95394100957481</v>
      </c>
      <c r="S24" s="62">
        <f ca="1">AVERAGE(OFFSET($R$3,0,0,'Données projet'!$E$9+1,1))-AVERAGE(OFFSET($H$3,0,0,'Données projet'!$E$9+1,1))</f>
        <v>319.74550658573207</v>
      </c>
      <c r="T24" s="62">
        <f t="shared" si="34"/>
        <v>231.35643408122294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6.4</v>
      </c>
      <c r="AI24" s="14">
        <f>IF('Données projet'!$A$62&gt;35,AI23+AH24-AQ23,IF(A24&lt;'Données projet'!$A$62,$AF$205^A24,IF(A24='Données projet'!$A$62,'Données projet'!$B$62,AI23+AH24-AQ23)))</f>
        <v>110.39999999999998</v>
      </c>
      <c r="AJ24" s="14">
        <f>AI24*VLOOKUP('Données projet'!$B$10,Paramètres!$A$1:$I$89,3,0)*VLOOKUP('Données projet'!$B$10,Paramètres!$A$1:$I$89,5,0)</f>
        <v>99.889919999999975</v>
      </c>
      <c r="AK24" s="14">
        <f t="shared" si="35"/>
        <v>26.935770825480166</v>
      </c>
      <c r="AL24" s="22">
        <f t="shared" si="4"/>
        <v>220.88807818771124</v>
      </c>
      <c r="AM24" s="62">
        <f t="shared" si="5"/>
        <v>439.74560656358562</v>
      </c>
      <c r="AN24" s="62">
        <f ca="1">AVERAGE(OFFSET($AM$3,0,0,'Données projet'!$E$10+1,1))-AVERAGE(OFFSET($H$3,0,0,'Données projet'!$E$10+1,1))</f>
        <v>254.64144953102331</v>
      </c>
      <c r="AO24" s="62">
        <f t="shared" si="36"/>
        <v>361.41009011468407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0.29418471211109004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7.10983606296326</v>
      </c>
      <c r="AX24" s="23">
        <f t="shared" si="6"/>
        <v>7.4040207750743496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18.196223185367025</v>
      </c>
      <c r="BF24" s="14">
        <f t="shared" si="37"/>
        <v>5.9823456440857257</v>
      </c>
      <c r="BG24" s="22">
        <f t="shared" si="7"/>
        <v>42.111007377963539</v>
      </c>
      <c r="BH24" s="62">
        <f t="shared" si="8"/>
        <v>260.9685357538379</v>
      </c>
      <c r="BI24" s="62">
        <f ca="1">AVERAGE(OFFSET($BH$3,0,0,'Données projet'!$E$11+1,1))-AVERAGE(OFFSET($H$3,0,0,'Données projet'!$E$11+1,1))</f>
        <v>352.34406861564418</v>
      </c>
      <c r="BJ24" s="62">
        <f t="shared" si="38"/>
        <v>182.40373266220317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82.6</v>
      </c>
      <c r="BZ24" s="14">
        <f>BY24*VLOOKUP('Données projet'!$B$12,Paramètres!$A$1:$I$89,3,0)*VLOOKUP('Données projet'!$B$12,Paramètres!$A$1:$I$89,5,0)</f>
        <v>72.159360000000007</v>
      </c>
      <c r="CA24" s="14">
        <f t="shared" si="39"/>
        <v>20.208750890014226</v>
      </c>
      <c r="CB24" s="22">
        <f t="shared" si="10"/>
        <v>160.8744598001081</v>
      </c>
      <c r="CC24" s="62">
        <f t="shared" si="11"/>
        <v>379.73198817598245</v>
      </c>
      <c r="CD24" s="62">
        <f ca="1">AVERAGE(OFFSET($CC$3,0,0,'Données projet'!$E$12+1,1))-AVERAGE(OFFSET($H$3,0,0,'Données projet'!$E$12+1,1))</f>
        <v>325.33012514933523</v>
      </c>
      <c r="CE24" s="62">
        <f t="shared" si="40"/>
        <v>332.38915219929675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1.3027986883006988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16.78589137769573</v>
      </c>
      <c r="CN24" s="24">
        <f t="shared" si="12"/>
        <v>18.088690065996428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4.3703703703703702</v>
      </c>
      <c r="N25" s="14">
        <f>IF('Données projet'!$A$36&gt;35,N24+M25-V24,IF(A25&lt;'Données projet'!$A$36,$K$205^A25,IF(A25='Données projet'!$A$36,'Données projet'!$B$36,N24+M25-V24)))</f>
        <v>48.775323004469058</v>
      </c>
      <c r="O25" s="14">
        <f>N25*VLOOKUP('Données projet'!$B$9,Paramètres!$A$1:$I$89,3,0)*VLOOKUP('Données projet'!$B$9,Paramètres!$A$1:$I$89,5,0)</f>
        <v>29.167643156672497</v>
      </c>
      <c r="P25" s="14">
        <f t="shared" si="33"/>
        <v>9.0769279301265016</v>
      </c>
      <c r="Q25" s="22">
        <f t="shared" si="2"/>
        <v>66.60929464284159</v>
      </c>
      <c r="R25" s="62">
        <f t="shared" si="0"/>
        <v>287.79020854631</v>
      </c>
      <c r="S25" s="62">
        <f ca="1">AVERAGE(OFFSET($R$3,0,0,'Données projet'!$E$9+1,1))-AVERAGE(OFFSET($H$3,0,0,'Données projet'!$E$9+1,1))</f>
        <v>319.74550658573207</v>
      </c>
      <c r="T25" s="62">
        <f t="shared" si="34"/>
        <v>231.35643408122294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6.4</v>
      </c>
      <c r="AI25" s="14">
        <f>IF('Données projet'!$A$62&gt;35,AI24+AH25-AQ24,IF(A25&lt;'Données projet'!$A$62,$AF$205^A25,IF(A25='Données projet'!$A$62,'Données projet'!$B$62,AI24+AH25-AQ24)))</f>
        <v>116.79999999999998</v>
      </c>
      <c r="AJ25" s="14">
        <f>AI25*VLOOKUP('Données projet'!$B$10,Paramètres!$A$1:$I$89,3,0)*VLOOKUP('Données projet'!$B$10,Paramètres!$A$1:$I$89,5,0)</f>
        <v>105.68063999999998</v>
      </c>
      <c r="AK25" s="14">
        <f t="shared" si="35"/>
        <v>28.31094923104175</v>
      </c>
      <c r="AL25" s="22">
        <f t="shared" si="4"/>
        <v>233.36868457739766</v>
      </c>
      <c r="AM25" s="62">
        <f t="shared" si="5"/>
        <v>454.54959848086605</v>
      </c>
      <c r="AN25" s="62">
        <f ca="1">AVERAGE(OFFSET($AM$3,0,0,'Données projet'!$E$10+1,1))-AVERAGE(OFFSET($H$3,0,0,'Données projet'!$E$10+1,1))</f>
        <v>254.64144953102331</v>
      </c>
      <c r="AO25" s="62">
        <f t="shared" si="36"/>
        <v>361.41009011468407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0.28841592934154825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5.0274132932459867</v>
      </c>
      <c r="AX25" s="23">
        <f t="shared" si="6"/>
        <v>5.315829222587535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20.848081935814147</v>
      </c>
      <c r="BF25" s="14">
        <f t="shared" si="37"/>
        <v>6.7465054484551477</v>
      </c>
      <c r="BG25" s="22">
        <f t="shared" si="7"/>
        <v>48.060573027602352</v>
      </c>
      <c r="BH25" s="62">
        <f t="shared" si="8"/>
        <v>269.24148693107077</v>
      </c>
      <c r="BI25" s="62">
        <f ca="1">AVERAGE(OFFSET($BH$3,0,0,'Données projet'!$E$11+1,1))-AVERAGE(OFFSET($H$3,0,0,'Données projet'!$E$11+1,1))</f>
        <v>352.34406861564418</v>
      </c>
      <c r="BJ25" s="62">
        <f t="shared" si="38"/>
        <v>182.40373266220317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93.199999999999989</v>
      </c>
      <c r="BZ25" s="14">
        <f>BY25*VLOOKUP('Données projet'!$B$12,Paramètres!$A$1:$I$89,3,0)*VLOOKUP('Données projet'!$B$12,Paramètres!$A$1:$I$89,5,0)</f>
        <v>81.419520000000006</v>
      </c>
      <c r="CA25" s="14">
        <f t="shared" si="39"/>
        <v>22.483908063290368</v>
      </c>
      <c r="CB25" s="22">
        <f t="shared" si="10"/>
        <v>180.96513721023075</v>
      </c>
      <c r="CC25" s="62">
        <f t="shared" si="11"/>
        <v>402.14605111369917</v>
      </c>
      <c r="CD25" s="62">
        <f ca="1">AVERAGE(OFFSET($CC$3,0,0,'Données projet'!$E$12+1,1))-AVERAGE(OFFSET($H$3,0,0,'Données projet'!$E$12+1,1))</f>
        <v>325.33012514933523</v>
      </c>
      <c r="CE25" s="62">
        <f t="shared" si="40"/>
        <v>332.38915219929675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1.2772516006518588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11.86941762142945</v>
      </c>
      <c r="CN25" s="24">
        <f t="shared" si="12"/>
        <v>13.146669222081309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4.3703703703703702</v>
      </c>
      <c r="N26" s="14">
        <f>IF('Données projet'!$A$36&gt;35,N25+M26-V25,IF(A26&lt;'Données projet'!$A$36,$K$205^A26,IF(A26='Données projet'!$A$36,'Données projet'!$B$36,N25+M26-V25)))</f>
        <v>58.201814542189823</v>
      </c>
      <c r="O26" s="14">
        <f>N26*VLOOKUP('Données projet'!$B$9,Paramètres!$A$1:$I$89,3,0)*VLOOKUP('Données projet'!$B$9,Paramètres!$A$1:$I$89,5,0)</f>
        <v>34.804685096229512</v>
      </c>
      <c r="P26" s="14">
        <f t="shared" si="33"/>
        <v>10.610678220189007</v>
      </c>
      <c r="Q26" s="22">
        <f t="shared" si="2"/>
        <v>79.098424442762266</v>
      </c>
      <c r="R26" s="62">
        <f t="shared" si="0"/>
        <v>302.58362115230875</v>
      </c>
      <c r="S26" s="62">
        <f ca="1">AVERAGE(OFFSET($R$3,0,0,'Données projet'!$E$9+1,1))-AVERAGE(OFFSET($H$3,0,0,'Données projet'!$E$9+1,1))</f>
        <v>319.74550658573207</v>
      </c>
      <c r="T26" s="62">
        <f t="shared" si="34"/>
        <v>231.35643408122294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6.4</v>
      </c>
      <c r="AI26" s="14">
        <f>IF('Données projet'!$A$62&gt;35,AI25+AH26-AQ25,IF(A26&lt;'Données projet'!$A$62,$AF$205^A26,IF(A26='Données projet'!$A$62,'Données projet'!$B$62,AI25+AH26-AQ25)))</f>
        <v>123.19999999999999</v>
      </c>
      <c r="AJ26" s="14">
        <f>AI26*VLOOKUP('Données projet'!$B$10,Paramètres!$A$1:$I$89,3,0)*VLOOKUP('Données projet'!$B$10,Paramètres!$A$1:$I$89,5,0)</f>
        <v>111.47135999999999</v>
      </c>
      <c r="AK26" s="14">
        <f t="shared" si="35"/>
        <v>29.677379926628468</v>
      </c>
      <c r="AL26" s="22">
        <f t="shared" si="4"/>
        <v>245.8340553722112</v>
      </c>
      <c r="AM26" s="62">
        <f t="shared" si="5"/>
        <v>469.31925208175767</v>
      </c>
      <c r="AN26" s="62">
        <f ca="1">AVERAGE(OFFSET($AM$3,0,0,'Données projet'!$E$10+1,1))-AVERAGE(OFFSET($H$3,0,0,'Données projet'!$E$10+1,1))</f>
        <v>254.64144953102331</v>
      </c>
      <c r="AO26" s="62">
        <f t="shared" si="36"/>
        <v>361.41009011468407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0.28276026888350708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3.5549180314816304</v>
      </c>
      <c r="AX26" s="23">
        <f t="shared" si="6"/>
        <v>3.8376783003651376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23.886414008811979</v>
      </c>
      <c r="BF26" s="14">
        <f t="shared" si="37"/>
        <v>7.6082758292363835</v>
      </c>
      <c r="BG26" s="22">
        <f t="shared" si="7"/>
        <v>54.853251467934228</v>
      </c>
      <c r="BH26" s="62">
        <f t="shared" si="8"/>
        <v>278.3384481774807</v>
      </c>
      <c r="BI26" s="62">
        <f ca="1">AVERAGE(OFFSET($BH$3,0,0,'Données projet'!$E$11+1,1))-AVERAGE(OFFSET($H$3,0,0,'Données projet'!$E$11+1,1))</f>
        <v>352.34406861564418</v>
      </c>
      <c r="BJ26" s="62">
        <f t="shared" si="38"/>
        <v>182.40373266220317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103.79999999999998</v>
      </c>
      <c r="BZ26" s="14">
        <f>BY26*VLOOKUP('Données projet'!$B$12,Paramètres!$A$1:$I$89,3,0)*VLOOKUP('Données projet'!$B$12,Paramètres!$A$1:$I$89,5,0)</f>
        <v>90.679679999999991</v>
      </c>
      <c r="CA26" s="14">
        <f t="shared" si="39"/>
        <v>24.729075596681458</v>
      </c>
      <c r="CB26" s="22">
        <f t="shared" si="10"/>
        <v>201.00358266422018</v>
      </c>
      <c r="CC26" s="62">
        <f t="shared" si="11"/>
        <v>424.48877937376665</v>
      </c>
      <c r="CD26" s="62">
        <f ca="1">AVERAGE(OFFSET($CC$3,0,0,'Données projet'!$E$12+1,1))-AVERAGE(OFFSET($H$3,0,0,'Données projet'!$E$12+1,1))</f>
        <v>325.33012514933523</v>
      </c>
      <c r="CE26" s="62">
        <f t="shared" si="40"/>
        <v>332.38915219929675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1.2522054758096277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8.3929456888478668</v>
      </c>
      <c r="CN26" s="24">
        <f t="shared" si="12"/>
        <v>9.645151164657495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4.3703703703703702</v>
      </c>
      <c r="N27" s="14">
        <f>IF('Données projet'!$A$36&gt;35,N26+M27-V26,IF(A27&lt;'Données projet'!$A$36,$K$205^A27,IF(A27='Données projet'!$A$36,'Données projet'!$B$36,N26+M27-V26)))</f>
        <v>69.450103194459274</v>
      </c>
      <c r="O27" s="14">
        <f>N27*VLOOKUP('Données projet'!$B$9,Paramètres!$A$1:$I$89,3,0)*VLOOKUP('Données projet'!$B$9,Paramètres!$A$1:$I$89,5,0)</f>
        <v>41.531161710286646</v>
      </c>
      <c r="P27" s="14">
        <f t="shared" si="33"/>
        <v>12.40358997659513</v>
      </c>
      <c r="Q27" s="22">
        <f t="shared" si="2"/>
        <v>93.936359187985758</v>
      </c>
      <c r="R27" s="62">
        <f t="shared" si="0"/>
        <v>319.70706737160555</v>
      </c>
      <c r="S27" s="62">
        <f ca="1">AVERAGE(OFFSET($R$3,0,0,'Données projet'!$E$9+1,1))-AVERAGE(OFFSET($H$3,0,0,'Données projet'!$E$9+1,1))</f>
        <v>319.74550658573207</v>
      </c>
      <c r="T27" s="62">
        <f t="shared" si="34"/>
        <v>231.35643408122294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6.4</v>
      </c>
      <c r="AI27" s="14">
        <f>IF('Données projet'!$A$62&gt;35,AI26+AH27-AQ26,IF(A27&lt;'Données projet'!$A$62,$AF$205^A27,IF(A27='Données projet'!$A$62,'Données projet'!$B$62,AI26+AH27-AQ26)))</f>
        <v>129.6</v>
      </c>
      <c r="AJ27" s="14">
        <f>AI27*VLOOKUP('Données projet'!$B$10,Paramètres!$A$1:$I$89,3,0)*VLOOKUP('Données projet'!$B$10,Paramètres!$A$1:$I$89,5,0)</f>
        <v>117.26208</v>
      </c>
      <c r="AK27" s="14">
        <f t="shared" si="35"/>
        <v>31.035569170075775</v>
      </c>
      <c r="AL27" s="22">
        <f t="shared" si="4"/>
        <v>258.28507230454863</v>
      </c>
      <c r="AM27" s="62">
        <f t="shared" si="5"/>
        <v>484.05578048816847</v>
      </c>
      <c r="AN27" s="62">
        <f ca="1">AVERAGE(OFFSET($AM$3,0,0,'Données projet'!$E$10+1,1))-AVERAGE(OFFSET($H$3,0,0,'Données projet'!$E$10+1,1))</f>
        <v>254.64144953102331</v>
      </c>
      <c r="AO27" s="62">
        <f t="shared" si="36"/>
        <v>361.41009011468407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0.27721551247743587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2.5137066466229938</v>
      </c>
      <c r="AX27" s="23">
        <f t="shared" si="6"/>
        <v>2.7909221591004298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27.367542777171455</v>
      </c>
      <c r="BF27" s="14">
        <f t="shared" si="37"/>
        <v>8.5801251530890958</v>
      </c>
      <c r="BG27" s="22">
        <f t="shared" si="7"/>
        <v>62.608854978537124</v>
      </c>
      <c r="BH27" s="62">
        <f t="shared" si="8"/>
        <v>288.37956316215696</v>
      </c>
      <c r="BI27" s="62">
        <f ca="1">AVERAGE(OFFSET($BH$3,0,0,'Données projet'!$E$11+1,1))-AVERAGE(OFFSET($H$3,0,0,'Données projet'!$E$11+1,1))</f>
        <v>352.34406861564418</v>
      </c>
      <c r="BJ27" s="62">
        <f t="shared" si="38"/>
        <v>182.40373266220317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114.39999999999998</v>
      </c>
      <c r="BZ27" s="14">
        <f>BY27*VLOOKUP('Données projet'!$B$12,Paramètres!$A$1:$I$89,3,0)*VLOOKUP('Données projet'!$B$12,Paramètres!$A$1:$I$89,5,0)</f>
        <v>99.93983999999999</v>
      </c>
      <c r="CA27" s="14">
        <f t="shared" si="39"/>
        <v>26.947664756006528</v>
      </c>
      <c r="CB27" s="22">
        <f t="shared" si="10"/>
        <v>220.99573745004466</v>
      </c>
      <c r="CC27" s="62">
        <f t="shared" si="11"/>
        <v>446.76644563366449</v>
      </c>
      <c r="CD27" s="62">
        <f ca="1">AVERAGE(OFFSET($CC$3,0,0,'Données projet'!$E$12+1,1))-AVERAGE(OFFSET($H$3,0,0,'Données projet'!$E$12+1,1))</f>
        <v>325.33012514933523</v>
      </c>
      <c r="CE27" s="62">
        <f t="shared" si="40"/>
        <v>332.38915219929675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1.2276504901989251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5.9347088107147261</v>
      </c>
      <c r="CN27" s="24">
        <f t="shared" si="12"/>
        <v>7.1623593009136517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4.3703703703703702</v>
      </c>
      <c r="N28" s="14">
        <f>IF('Données projet'!$A$36&gt;35,N27+M28-V27,IF(A28&lt;'Données projet'!$A$36,$K$205^A28,IF(A28='Données projet'!$A$36,'Données projet'!$B$36,N27+M28-V27)))</f>
        <v>82.872275918900684</v>
      </c>
      <c r="O28" s="14">
        <f>N28*VLOOKUP('Données projet'!$B$9,Paramètres!$A$1:$I$89,3,0)*VLOOKUP('Données projet'!$B$9,Paramètres!$A$1:$I$89,5,0)</f>
        <v>49.557620999502618</v>
      </c>
      <c r="P28" s="14">
        <f t="shared" si="33"/>
        <v>14.49945433410293</v>
      </c>
      <c r="Q28" s="22">
        <f t="shared" si="2"/>
        <v>111.56607287269634</v>
      </c>
      <c r="R28" s="62">
        <f t="shared" si="0"/>
        <v>339.60384683902845</v>
      </c>
      <c r="S28" s="62">
        <f ca="1">AVERAGE(OFFSET($R$3,0,0,'Données projet'!$E$9+1,1))-AVERAGE(OFFSET($H$3,0,0,'Données projet'!$E$9+1,1))</f>
        <v>319.74550658573207</v>
      </c>
      <c r="T28" s="62">
        <f t="shared" si="34"/>
        <v>231.35643408122294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136</v>
      </c>
      <c r="AG28" s="13">
        <f>VLOOKUP(A28,'Données projet'!$A$61:$I$81,9,0)</f>
        <v>6.4</v>
      </c>
      <c r="AH28" s="13">
        <f t="array" ref="AH28">INDEX(AG:AG,MIN(IF(ISNUMBER(AG28:AG224),ROW(AG28:AG224),"")))</f>
        <v>6.4</v>
      </c>
      <c r="AI28" s="14">
        <f>IF('Données projet'!$A$62&gt;35,AI27+AH28-AQ27,IF(A28&lt;'Données projet'!$A$62,$AF$205^A28,IF(A28='Données projet'!$A$62,'Données projet'!$B$62,AI27+AH28-AQ27)))</f>
        <v>136</v>
      </c>
      <c r="AJ28" s="14">
        <f>AI28*VLOOKUP('Données projet'!$B$10,Paramètres!$A$1:$I$89,3,0)*VLOOKUP('Données projet'!$B$10,Paramètres!$A$1:$I$89,5,0)</f>
        <v>123.05279999999999</v>
      </c>
      <c r="AK28" s="14">
        <f t="shared" si="35"/>
        <v>32.385970393750824</v>
      </c>
      <c r="AL28" s="22">
        <f t="shared" si="4"/>
        <v>270.72252510244931</v>
      </c>
      <c r="AM28" s="62">
        <f t="shared" si="5"/>
        <v>498.76029906878142</v>
      </c>
      <c r="AN28" s="62">
        <f ca="1">AVERAGE(OFFSET($AM$3,0,0,'Données projet'!$E$10+1,1))-AVERAGE(OFFSET($H$3,0,0,'Données projet'!$E$10+1,1))</f>
        <v>254.64144953102331</v>
      </c>
      <c r="AO28" s="62">
        <f t="shared" si="36"/>
        <v>361.41009011468407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0.09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0.7</v>
      </c>
      <c r="AU28" s="23">
        <f>EXP(-LN(2)/35)*AU27+(1-EXP(-LN(2)/35))/(LN(2)/35)*AQ28*AR28*VLOOKUP('Données projet'!$B$10,Paramètres!$A$1:$I$89,3,0)*0.475*44/12</f>
        <v>0.99194479693153759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6.5581966688165636</v>
      </c>
      <c r="AX28" s="23">
        <f t="shared" si="6"/>
        <v>7.5501414657481014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31.356000000000002</v>
      </c>
      <c r="BF28" s="14">
        <f t="shared" si="37"/>
        <v>9.6761144436663891</v>
      </c>
      <c r="BG28" s="22">
        <f t="shared" si="7"/>
        <v>71.464265989385623</v>
      </c>
      <c r="BH28" s="62">
        <f t="shared" si="8"/>
        <v>299.50203995571775</v>
      </c>
      <c r="BI28" s="62">
        <f ca="1">AVERAGE(OFFSET($BH$3,0,0,'Données projet'!$E$11+1,1))-AVERAGE(OFFSET($H$3,0,0,'Données projet'!$E$11+1,1))</f>
        <v>352.34406861564418</v>
      </c>
      <c r="BJ28" s="62">
        <f t="shared" si="38"/>
        <v>182.40373266220317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125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124.99999999999997</v>
      </c>
      <c r="BZ28" s="14">
        <f>BY28*VLOOKUP('Données projet'!$B$12,Paramètres!$A$1:$I$89,3,0)*VLOOKUP('Données projet'!$B$12,Paramètres!$A$1:$I$89,5,0)</f>
        <v>109.19999999999999</v>
      </c>
      <c r="CA28" s="14">
        <f t="shared" si="39"/>
        <v>29.142418334948612</v>
      </c>
      <c r="CB28" s="22">
        <f t="shared" si="10"/>
        <v>240.94637860003544</v>
      </c>
      <c r="CC28" s="62">
        <f t="shared" si="11"/>
        <v>468.98415256636758</v>
      </c>
      <c r="CD28" s="62">
        <f ca="1">AVERAGE(OFFSET($CC$3,0,0,'Données projet'!$E$12+1,1))-AVERAGE(OFFSET($H$3,0,0,'Données projet'!$E$12+1,1))</f>
        <v>325.33012514933523</v>
      </c>
      <c r="CE28" s="62">
        <f t="shared" si="40"/>
        <v>332.38915219929675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31</v>
      </c>
      <c r="CH28" s="17">
        <f>IF(ISNA(VLOOKUP(A28,'Données projet'!$A$113:$I$133,5,0)),0%,VLOOKUP(A28,'Données projet'!$A$113:$I$133,5,0)*VLOOKUP('Données projet'!$B$12,Paramètres!$A$1:$I$89,7,0))</f>
        <v>4.3000000000000003E-2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0.9</v>
      </c>
      <c r="CK28" s="23">
        <f>EXP(-LN(2)/35)*CK27+(1-EXP(-LN(2)/35))/(LN(2)/35)*CG28*CH28*VLOOKUP('Données projet'!$B$12,Paramètres!$A$1:$I$89,3,0)*0.475*44/12</f>
        <v>2.4909069979844469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27.193469485943492</v>
      </c>
      <c r="CN28" s="24">
        <f t="shared" si="12"/>
        <v>29.684376483927938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4.3703703703703702</v>
      </c>
      <c r="N29" s="14">
        <f>IF('Données projet'!$A$36&gt;35,N28+M29-V28,IF(A29&lt;'Données projet'!$A$36,$K$205^A29,IF(A29='Données projet'!$A$36,'Données projet'!$B$36,N28+M29-V28)))</f>
        <v>98.888465244589028</v>
      </c>
      <c r="O29" s="14">
        <f>N29*VLOOKUP('Données projet'!$B$9,Paramètres!$A$1:$I$89,3,0)*VLOOKUP('Données projet'!$B$9,Paramètres!$A$1:$I$89,5,0)</f>
        <v>59.135302216264243</v>
      </c>
      <c r="P29" s="14">
        <f t="shared" si="33"/>
        <v>16.949461920575921</v>
      </c>
      <c r="Q29" s="22">
        <f t="shared" si="2"/>
        <v>132.51429753832994</v>
      </c>
      <c r="R29" s="62">
        <f t="shared" si="0"/>
        <v>362.80101158752012</v>
      </c>
      <c r="S29" s="62">
        <f ca="1">AVERAGE(OFFSET($R$3,0,0,'Données projet'!$E$9+1,1))-AVERAGE(OFFSET($H$3,0,0,'Données projet'!$E$9+1,1))</f>
        <v>319.74550658573207</v>
      </c>
      <c r="T29" s="62">
        <f t="shared" si="34"/>
        <v>231.35643408122294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5.2</v>
      </c>
      <c r="AI29" s="14">
        <f>IF('Données projet'!$A$62&gt;35,AI28+AH29-AQ28,IF(A29&lt;'Données projet'!$A$62,$AF$205^A29,IF(A29='Données projet'!$A$62,'Données projet'!$B$62,AI28+AH29-AQ28)))</f>
        <v>133.19999999999999</v>
      </c>
      <c r="AJ29" s="14">
        <f>AI29*VLOOKUP('Données projet'!$B$10,Paramètres!$A$1:$I$89,3,0)*VLOOKUP('Données projet'!$B$10,Paramètres!$A$1:$I$89,5,0)</f>
        <v>120.51935999999998</v>
      </c>
      <c r="AK29" s="14">
        <f t="shared" si="35"/>
        <v>31.796101022354524</v>
      </c>
      <c r="AL29" s="22">
        <f t="shared" si="4"/>
        <v>265.28276128060071</v>
      </c>
      <c r="AM29" s="62">
        <f t="shared" si="5"/>
        <v>495.56947532979086</v>
      </c>
      <c r="AN29" s="62">
        <f ca="1">AVERAGE(OFFSET($AM$3,0,0,'Données projet'!$E$10+1,1))-AVERAGE(OFFSET($H$3,0,0,'Données projet'!$E$10+1,1))</f>
        <v>254.64144953102331</v>
      </c>
      <c r="AO29" s="62">
        <f t="shared" si="36"/>
        <v>361.41009011468407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0.97249336449029489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4.6373453368752191</v>
      </c>
      <c r="AX29" s="23">
        <f t="shared" si="6"/>
        <v>5.609838701365514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36.372959999999999</v>
      </c>
      <c r="BF29" s="14">
        <f t="shared" si="37"/>
        <v>11.032046293563772</v>
      </c>
      <c r="BG29" s="22">
        <f t="shared" si="7"/>
        <v>82.563719294623567</v>
      </c>
      <c r="BH29" s="62">
        <f t="shared" si="8"/>
        <v>312.85043334381373</v>
      </c>
      <c r="BI29" s="62">
        <f ca="1">AVERAGE(OFFSET($BH$3,0,0,'Données projet'!$E$11+1,1))-AVERAGE(OFFSET($H$3,0,0,'Données projet'!$E$11+1,1))</f>
        <v>352.34406861564418</v>
      </c>
      <c r="BJ29" s="62">
        <f t="shared" si="38"/>
        <v>182.40373266220317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10</v>
      </c>
      <c r="BY29" s="13">
        <f>IF('Données projet'!$A$114&gt;35,BY28+BX29-CG28,IF(A29&lt;'Données projet'!$A$114,$BV$205^A29,IF(A29='Données projet'!$A$114,'Données projet'!$B$114,BY28+BX29-CG28)))</f>
        <v>103.99999999999997</v>
      </c>
      <c r="BZ29" s="14">
        <f>BY29*VLOOKUP('Données projet'!$B$12,Paramètres!$A$1:$I$89,3,0)*VLOOKUP('Données projet'!$B$12,Paramètres!$A$1:$I$89,5,0)</f>
        <v>90.854399999999984</v>
      </c>
      <c r="CA29" s="14">
        <f t="shared" si="39"/>
        <v>24.771172249191263</v>
      </c>
      <c r="CB29" s="22">
        <f t="shared" si="10"/>
        <v>201.38120500067475</v>
      </c>
      <c r="CC29" s="62">
        <f t="shared" si="11"/>
        <v>431.66791904986496</v>
      </c>
      <c r="CD29" s="62">
        <f ca="1">AVERAGE(OFFSET($CC$3,0,0,'Données projet'!$E$12+1,1))-AVERAGE(OFFSET($H$3,0,0,'Données projet'!$E$12+1,1))</f>
        <v>325.33012514933523</v>
      </c>
      <c r="CE29" s="62">
        <f t="shared" si="40"/>
        <v>332.38915219929675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2.442061831057222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19.228686677500104</v>
      </c>
      <c r="CN29" s="24">
        <f t="shared" si="12"/>
        <v>21.670748508557324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118</v>
      </c>
      <c r="L30" s="13">
        <f>VLOOKUP(A30,'Données projet'!$A$35:$I$55,9,0)</f>
        <v>4.3703703703703702</v>
      </c>
      <c r="M30" s="13">
        <f t="array" ref="M30">INDEX(L:L,MIN(IF(ISNUMBER(L30:L226),ROW(L30:L226),"")))</f>
        <v>4.3703703703703702</v>
      </c>
      <c r="N30" s="14">
        <f>IF('Données projet'!$A$36&gt;35,N29+M30-V29,IF(A30&lt;'Données projet'!$A$36,$K$205^A30,IF(A30='Données projet'!$A$36,'Données projet'!$B$36,N29+M30-V29)))</f>
        <v>118</v>
      </c>
      <c r="O30" s="14">
        <f>N30*VLOOKUP('Données projet'!$B$9,Paramètres!$A$1:$I$89,3,0)*VLOOKUP('Données projet'!$B$9,Paramètres!$A$1:$I$89,5,0)</f>
        <v>70.564000000000007</v>
      </c>
      <c r="P30" s="14">
        <f t="shared" si="33"/>
        <v>19.813453167086163</v>
      </c>
      <c r="Q30" s="22">
        <f t="shared" si="2"/>
        <v>157.40739759934175</v>
      </c>
      <c r="R30" s="62">
        <f t="shared" si="0"/>
        <v>389.92524047190523</v>
      </c>
      <c r="S30" s="62">
        <f ca="1">AVERAGE(OFFSET($R$3,0,0,'Données projet'!$E$9+1,1))-AVERAGE(OFFSET($H$3,0,0,'Données projet'!$E$9+1,1))</f>
        <v>319.74550658573207</v>
      </c>
      <c r="T30" s="62">
        <f t="shared" si="34"/>
        <v>231.35643408122294</v>
      </c>
      <c r="U30" s="16">
        <f>IF(ISNA(VLOOKUP(A30,'Données projet'!$A$35:$I$55,3,0)),0,VLOOKUP(A30,'Données projet'!$A$35:$I$55,3,0))</f>
        <v>1</v>
      </c>
      <c r="V30" s="16">
        <f>IF(ISNA(VLOOKUP(A30,'Données projet'!$A$35:$I$55,4,0)),0,VLOOKUP(A30,'Données projet'!$A$35:$I$55,4,0))</f>
        <v>15</v>
      </c>
      <c r="W30" s="17">
        <f>IF(ISNA(VLOOKUP(A30,'Données projet'!$A$35:$I$55,5,0)),0%,VLOOKUP(A30,'Données projet'!$A$35:$I$55,5,0)*VLOOKUP('Données projet'!$B$9,Paramètres!$A$1:$I$89,7,0))</f>
        <v>9.0000000000000011E-2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0.8</v>
      </c>
      <c r="Z30" s="23">
        <f>EXP(-LN(2)/35)*Z29+(1-EXP(-LN(2)/35))/(LN(2)/35)*V30*W30*VLOOKUP('Données projet'!$B$9,Paramètres!$A$1:$I$89,3,0)*0.475*44/12</f>
        <v>1.070935484876341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8.124898967049921</v>
      </c>
      <c r="AC30" s="24">
        <f t="shared" si="3"/>
        <v>9.1958344519262614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5.2</v>
      </c>
      <c r="AI30" s="14">
        <f>IF('Données projet'!$A$62&gt;35,AI29+AH30-AQ29,IF(A30&lt;'Données projet'!$A$62,$AF$205^A30,IF(A30='Données projet'!$A$62,'Données projet'!$B$62,AI29+AH30-AQ29)))</f>
        <v>138.39999999999998</v>
      </c>
      <c r="AJ30" s="14">
        <f>AI30*VLOOKUP('Données projet'!$B$10,Paramètres!$A$1:$I$89,3,0)*VLOOKUP('Données projet'!$B$10,Paramètres!$A$1:$I$89,5,0)</f>
        <v>125.22431999999996</v>
      </c>
      <c r="AK30" s="14">
        <f t="shared" si="35"/>
        <v>32.890447642602773</v>
      </c>
      <c r="AL30" s="22">
        <f t="shared" si="4"/>
        <v>275.38322031086642</v>
      </c>
      <c r="AM30" s="62">
        <f t="shared" si="5"/>
        <v>507.90106318342993</v>
      </c>
      <c r="AN30" s="62">
        <f ca="1">AVERAGE(OFFSET($AM$3,0,0,'Données projet'!$E$10+1,1))-AVERAGE(OFFSET($H$3,0,0,'Données projet'!$E$10+1,1))</f>
        <v>254.64144953102331</v>
      </c>
      <c r="AO30" s="62">
        <f t="shared" si="36"/>
        <v>361.41009011468407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0.9534233627750226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3.2790983344082822</v>
      </c>
      <c r="AX30" s="23">
        <f t="shared" si="6"/>
        <v>4.2325216971833051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41.389919999999996</v>
      </c>
      <c r="BF30" s="14">
        <f t="shared" si="37"/>
        <v>12.366309791717869</v>
      </c>
      <c r="BG30" s="22">
        <f t="shared" si="7"/>
        <v>93.625433553908593</v>
      </c>
      <c r="BH30" s="62">
        <f t="shared" si="8"/>
        <v>326.14327642647208</v>
      </c>
      <c r="BI30" s="62">
        <f ca="1">AVERAGE(OFFSET($BH$3,0,0,'Données projet'!$E$11+1,1))-AVERAGE(OFFSET($H$3,0,0,'Données projet'!$E$11+1,1))</f>
        <v>352.34406861564418</v>
      </c>
      <c r="BJ30" s="62">
        <f t="shared" si="38"/>
        <v>182.40373266220317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10</v>
      </c>
      <c r="BY30" s="13">
        <f>IF('Données projet'!$A$114&gt;35,BY29+BX30-CG29,IF(A30&lt;'Données projet'!$A$114,$BV$205^A30,IF(A30='Données projet'!$A$114,'Données projet'!$B$114,BY29+BX30-CG29)))</f>
        <v>113.99999999999997</v>
      </c>
      <c r="BZ30" s="14">
        <f>BY30*VLOOKUP('Données projet'!$B$12,Paramètres!$A$1:$I$89,3,0)*VLOOKUP('Données projet'!$B$12,Paramètres!$A$1:$I$89,5,0)</f>
        <v>99.590399999999988</v>
      </c>
      <c r="CA30" s="14">
        <f t="shared" si="39"/>
        <v>26.864392698869324</v>
      </c>
      <c r="CB30" s="22">
        <f t="shared" si="10"/>
        <v>220.24209728386404</v>
      </c>
      <c r="CC30" s="62">
        <f t="shared" si="11"/>
        <v>452.75994015642755</v>
      </c>
      <c r="CD30" s="62">
        <f ca="1">AVERAGE(OFFSET($CC$3,0,0,'Données projet'!$E$12+1,1))-AVERAGE(OFFSET($H$3,0,0,'Données projet'!$E$12+1,1))</f>
        <v>325.33012514933523</v>
      </c>
      <c r="CE30" s="62">
        <f t="shared" si="40"/>
        <v>332.38915219929675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2.39417448806083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13.596734742971748</v>
      </c>
      <c r="CN30" s="24">
        <f t="shared" si="12"/>
        <v>15.990909231032578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9.6666666666666661</v>
      </c>
      <c r="N31" s="14">
        <f>IF('Données projet'!$A$36&gt;35,N30+M31-V30,IF(A31&lt;'Données projet'!$A$36,$K$205^A31,IF(A31='Données projet'!$A$36,'Données projet'!$B$36,N30+M31-V30)))</f>
        <v>112.66666666666667</v>
      </c>
      <c r="O31" s="14">
        <f>N31*VLOOKUP('Données projet'!$B$9,Paramètres!$A$1:$I$89,3,0)*VLOOKUP('Données projet'!$B$9,Paramètres!$A$1:$I$89,5,0)</f>
        <v>67.37466666666667</v>
      </c>
      <c r="P31" s="14">
        <f t="shared" si="33"/>
        <v>19.020051421525295</v>
      </c>
      <c r="Q31" s="22">
        <f t="shared" si="2"/>
        <v>150.47080067026766</v>
      </c>
      <c r="R31" s="62">
        <f t="shared" si="0"/>
        <v>385.20227009225175</v>
      </c>
      <c r="S31" s="62">
        <f ca="1">AVERAGE(OFFSET($R$3,0,0,'Données projet'!$E$9+1,1))-AVERAGE(OFFSET($H$3,0,0,'Données projet'!$E$9+1,1))</f>
        <v>319.74550658573207</v>
      </c>
      <c r="T31" s="62">
        <f t="shared" si="34"/>
        <v>231.35643408122294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1.049935093224063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5.7451711560565748</v>
      </c>
      <c r="AC31" s="24">
        <f t="shared" si="3"/>
        <v>6.7951062492806376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5.2</v>
      </c>
      <c r="AI31" s="14">
        <f>IF('Données projet'!$A$62&gt;35,AI30+AH31-AQ30,IF(A31&lt;'Données projet'!$A$62,$AF$205^A31,IF(A31='Données projet'!$A$62,'Données projet'!$B$62,AI30+AH31-AQ30)))</f>
        <v>143.59999999999997</v>
      </c>
      <c r="AJ31" s="14">
        <f>AI31*VLOOKUP('Données projet'!$B$10,Paramètres!$A$1:$I$89,3,0)*VLOOKUP('Données projet'!$B$10,Paramètres!$A$1:$I$89,5,0)</f>
        <v>129.92927999999995</v>
      </c>
      <c r="AK31" s="14">
        <f t="shared" si="35"/>
        <v>33.980017499256149</v>
      </c>
      <c r="AL31" s="22">
        <f t="shared" si="4"/>
        <v>285.47535981120433</v>
      </c>
      <c r="AM31" s="62">
        <f t="shared" si="5"/>
        <v>520.20682923318839</v>
      </c>
      <c r="AN31" s="62">
        <f ca="1">AVERAGE(OFFSET($AM$3,0,0,'Données projet'!$E$10+1,1))-AVERAGE(OFFSET($H$3,0,0,'Données projet'!$E$10+1,1))</f>
        <v>254.64144953102331</v>
      </c>
      <c r="AO31" s="62">
        <f t="shared" si="36"/>
        <v>361.41009011468407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0.93472731216183425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2.31867266843761</v>
      </c>
      <c r="AX31" s="23">
        <f t="shared" si="6"/>
        <v>3.2533999805994442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46.406880000000001</v>
      </c>
      <c r="BF31" s="14">
        <f t="shared" si="37"/>
        <v>13.681831831168125</v>
      </c>
      <c r="BG31" s="22">
        <f t="shared" si="7"/>
        <v>104.65450643928448</v>
      </c>
      <c r="BH31" s="62">
        <f t="shared" si="8"/>
        <v>339.38597586126855</v>
      </c>
      <c r="BI31" s="62">
        <f ca="1">AVERAGE(OFFSET($BH$3,0,0,'Données projet'!$E$11+1,1))-AVERAGE(OFFSET($H$3,0,0,'Données projet'!$E$11+1,1))</f>
        <v>352.34406861564418</v>
      </c>
      <c r="BJ31" s="62">
        <f t="shared" si="38"/>
        <v>182.40373266220317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10</v>
      </c>
      <c r="BY31" s="13">
        <f>IF('Données projet'!$A$114&gt;35,BY30+BX31-CG30,IF(A31&lt;'Données projet'!$A$114,$BV$205^A31,IF(A31='Données projet'!$A$114,'Données projet'!$B$114,BY30+BX31-CG30)))</f>
        <v>123.99999999999997</v>
      </c>
      <c r="BZ31" s="14">
        <f>BY31*VLOOKUP('Données projet'!$B$12,Paramètres!$A$1:$I$89,3,0)*VLOOKUP('Données projet'!$B$12,Paramètres!$A$1:$I$89,5,0)</f>
        <v>108.32640000000001</v>
      </c>
      <c r="CA31" s="14">
        <f t="shared" si="39"/>
        <v>28.936320206966883</v>
      </c>
      <c r="CB31" s="22">
        <f t="shared" si="10"/>
        <v>239.06590436046736</v>
      </c>
      <c r="CC31" s="62">
        <f t="shared" si="11"/>
        <v>473.79737378245147</v>
      </c>
      <c r="CD31" s="62">
        <f ca="1">AVERAGE(OFFSET($CC$3,0,0,'Données projet'!$E$12+1,1))-AVERAGE(OFFSET($H$3,0,0,'Données projet'!$E$12+1,1))</f>
        <v>325.33012514933523</v>
      </c>
      <c r="CE31" s="62">
        <f t="shared" si="40"/>
        <v>332.38915219929675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2.3472261866522022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9.6143433387500536</v>
      </c>
      <c r="CN31" s="24">
        <f t="shared" si="12"/>
        <v>11.961569525402256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9.6666666666666661</v>
      </c>
      <c r="N32" s="14">
        <f>IF('Données projet'!$A$36&gt;35,N31+M32-V31,IF(A32&lt;'Données projet'!$A$36,$K$205^A32,IF(A32='Données projet'!$A$36,'Données projet'!$B$36,N31+M32-V31)))</f>
        <v>122.33333333333334</v>
      </c>
      <c r="O32" s="14">
        <f>N32*VLOOKUP('Données projet'!$B$9,Paramètres!$A$1:$I$89,3,0)*VLOOKUP('Données projet'!$B$9,Paramètres!$A$1:$I$89,5,0)</f>
        <v>73.155333333333346</v>
      </c>
      <c r="P32" s="14">
        <f t="shared" si="33"/>
        <v>20.455016056663315</v>
      </c>
      <c r="Q32" s="22">
        <f t="shared" si="2"/>
        <v>163.03802518757752</v>
      </c>
      <c r="R32" s="62">
        <f t="shared" si="0"/>
        <v>399.96592251035338</v>
      </c>
      <c r="S32" s="62">
        <f ca="1">AVERAGE(OFFSET($R$3,0,0,'Données projet'!$E$9+1,1))-AVERAGE(OFFSET($H$3,0,0,'Données projet'!$E$9+1,1))</f>
        <v>319.74550658573207</v>
      </c>
      <c r="T32" s="62">
        <f t="shared" si="34"/>
        <v>231.35643408122294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1.029346506443112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4.0624494835249614</v>
      </c>
      <c r="AC32" s="24">
        <f t="shared" si="3"/>
        <v>5.0917959899680731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5.2</v>
      </c>
      <c r="AI32" s="14">
        <f>IF('Données projet'!$A$62&gt;35,AI31+AH32-AQ31,IF(A32&lt;'Données projet'!$A$62,$AF$205^A32,IF(A32='Données projet'!$A$62,'Données projet'!$B$62,AI31+AH32-AQ31)))</f>
        <v>148.79999999999995</v>
      </c>
      <c r="AJ32" s="14">
        <f>AI32*VLOOKUP('Données projet'!$B$10,Paramètres!$A$1:$I$89,3,0)*VLOOKUP('Données projet'!$B$10,Paramètres!$A$1:$I$89,5,0)</f>
        <v>134.63423999999998</v>
      </c>
      <c r="AK32" s="14">
        <f t="shared" si="35"/>
        <v>35.065003380589694</v>
      </c>
      <c r="AL32" s="22">
        <f t="shared" si="4"/>
        <v>295.55951555452697</v>
      </c>
      <c r="AM32" s="62">
        <f t="shared" si="5"/>
        <v>532.48741287730286</v>
      </c>
      <c r="AN32" s="62">
        <f ca="1">AVERAGE(OFFSET($AM$3,0,0,'Données projet'!$E$10+1,1))-AVERAGE(OFFSET($H$3,0,0,'Données projet'!$E$10+1,1))</f>
        <v>254.64144953102331</v>
      </c>
      <c r="AO32" s="62">
        <f t="shared" si="36"/>
        <v>361.41009011468407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0.9163978796977057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1.6395491672041416</v>
      </c>
      <c r="AX32" s="23">
        <f t="shared" si="6"/>
        <v>2.5559470469018475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51.423839999999991</v>
      </c>
      <c r="BF32" s="14">
        <f t="shared" si="37"/>
        <v>14.980869486234537</v>
      </c>
      <c r="BG32" s="22">
        <f t="shared" si="7"/>
        <v>115.65486902185846</v>
      </c>
      <c r="BH32" s="62">
        <f t="shared" si="8"/>
        <v>352.58276634463431</v>
      </c>
      <c r="BI32" s="62">
        <f ca="1">AVERAGE(OFFSET($BH$3,0,0,'Données projet'!$E$11+1,1))-AVERAGE(OFFSET($H$3,0,0,'Données projet'!$E$11+1,1))</f>
        <v>352.34406861564418</v>
      </c>
      <c r="BJ32" s="62">
        <f t="shared" si="38"/>
        <v>182.40373266220317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10</v>
      </c>
      <c r="BY32" s="13">
        <f>IF('Données projet'!$A$114&gt;35,BY31+BX32-CG31,IF(A32&lt;'Données projet'!$A$114,$BV$205^A32,IF(A32='Données projet'!$A$114,'Données projet'!$B$114,BY31+BX32-CG31)))</f>
        <v>133.99999999999997</v>
      </c>
      <c r="BZ32" s="14">
        <f>BY32*VLOOKUP('Données projet'!$B$12,Paramètres!$A$1:$I$89,3,0)*VLOOKUP('Données projet'!$B$12,Paramètres!$A$1:$I$89,5,0)</f>
        <v>117.0624</v>
      </c>
      <c r="CA32" s="14">
        <f t="shared" si="39"/>
        <v>30.988867171899152</v>
      </c>
      <c r="CB32" s="22">
        <f t="shared" si="10"/>
        <v>257.85595699105767</v>
      </c>
      <c r="CC32" s="62">
        <f t="shared" si="11"/>
        <v>494.7838543138335</v>
      </c>
      <c r="CD32" s="62">
        <f ca="1">AVERAGE(OFFSET($CC$3,0,0,'Données projet'!$E$12+1,1))-AVERAGE(OFFSET($H$3,0,0,'Données projet'!$E$12+1,1))</f>
        <v>325.33012514933523</v>
      </c>
      <c r="CE32" s="62">
        <f t="shared" si="40"/>
        <v>332.38915219929675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2.3011985127985608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6.7983673714858757</v>
      </c>
      <c r="CN32" s="24">
        <f t="shared" si="12"/>
        <v>9.099565884284436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132</v>
      </c>
      <c r="L33" s="13">
        <f>VLOOKUP(A33,'Données projet'!$A$35:$I$55,9,0)</f>
        <v>9.6666666666666661</v>
      </c>
      <c r="M33" s="13">
        <f t="array" ref="M33">INDEX(L:L,MIN(IF(ISNUMBER(L33:L229),ROW(L33:L229),"")))</f>
        <v>9.6666666666666661</v>
      </c>
      <c r="N33" s="14">
        <f>IF('Données projet'!$A$36&gt;35,N32+M33-V32,IF(A33&lt;'Données projet'!$A$36,$K$205^A33,IF(A33='Données projet'!$A$36,'Données projet'!$B$36,N32+M33-V32)))</f>
        <v>132</v>
      </c>
      <c r="O33" s="14">
        <f>N33*VLOOKUP('Données projet'!$B$9,Paramètres!$A$1:$I$89,3,0)*VLOOKUP('Données projet'!$B$9,Paramètres!$A$1:$I$89,5,0)</f>
        <v>78.936000000000007</v>
      </c>
      <c r="P33" s="14">
        <f t="shared" si="33"/>
        <v>21.876828219051273</v>
      </c>
      <c r="Q33" s="22">
        <f t="shared" si="2"/>
        <v>175.5823424815143</v>
      </c>
      <c r="R33" s="62">
        <f t="shared" si="0"/>
        <v>414.68976741455629</v>
      </c>
      <c r="S33" s="62">
        <f ca="1">AVERAGE(OFFSET($R$3,0,0,'Données projet'!$E$9+1,1))-AVERAGE(OFFSET($H$3,0,0,'Données projet'!$E$9+1,1))</f>
        <v>319.74550658573207</v>
      </c>
      <c r="T33" s="62">
        <f t="shared" si="34"/>
        <v>231.35643408122294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13</v>
      </c>
      <c r="W33" s="17">
        <f>IF(ISNA(VLOOKUP(A33,'Données projet'!$A$35:$I$55,5,0)),0%,VLOOKUP(A33,'Données projet'!$A$35:$I$55,5,0)*VLOOKUP('Données projet'!$B$9,Paramètres!$A$1:$I$89,7,0))</f>
        <v>0.27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3.7935939099696236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6.3933751304165858</v>
      </c>
      <c r="AC33" s="24">
        <f t="shared" si="3"/>
        <v>10.186969040386209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154</v>
      </c>
      <c r="AG33" s="13">
        <f>VLOOKUP(A33,'Données projet'!$A$61:$I$81,9,0)</f>
        <v>5.2</v>
      </c>
      <c r="AH33" s="13">
        <f t="array" ref="AH33">INDEX(AG:AG,MIN(IF(ISNUMBER(AG33:AG229),ROW(AG33:AG229),"")))</f>
        <v>5.2</v>
      </c>
      <c r="AI33" s="14">
        <f>IF('Données projet'!$A$62&gt;35,AI32+AH33-AQ32,IF(A33&lt;'Données projet'!$A$62,$AF$205^A33,IF(A33='Données projet'!$A$62,'Données projet'!$B$62,AI32+AH33-AQ32)))</f>
        <v>153.99999999999994</v>
      </c>
      <c r="AJ33" s="14">
        <f>AI33*VLOOKUP('Données projet'!$B$10,Paramètres!$A$1:$I$89,3,0)*VLOOKUP('Données projet'!$B$10,Paramètres!$A$1:$I$89,5,0)</f>
        <v>139.33919999999995</v>
      </c>
      <c r="AK33" s="14">
        <f t="shared" si="35"/>
        <v>36.145583836349623</v>
      </c>
      <c r="AL33" s="22">
        <f t="shared" si="4"/>
        <v>305.63599851497548</v>
      </c>
      <c r="AM33" s="62">
        <f t="shared" si="5"/>
        <v>544.74342344801744</v>
      </c>
      <c r="AN33" s="62">
        <f ca="1">AVERAGE(OFFSET($AM$3,0,0,'Données projet'!$E$10+1,1))-AVERAGE(OFFSET($H$3,0,0,'Données projet'!$E$10+1,1))</f>
        <v>254.64144953102331</v>
      </c>
      <c r="AO33" s="62">
        <f t="shared" si="36"/>
        <v>361.41009011468407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6</v>
      </c>
      <c r="AR33" s="17">
        <f>IF(ISNA(VLOOKUP(A33,'Données projet'!$A$61:$I$81,5,0)),0%,VLOOKUP(A33,'Données projet'!$A$61:$I$81,5,0)*VLOOKUP('Données projet'!$B$10,Paramètres!$A$1:$I$89,7,0))</f>
        <v>0.12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0.6</v>
      </c>
      <c r="AU33" s="23">
        <f>EXP(-LN(2)/35)*AU32+(1-EXP(-LN(2)/35))/(LN(2)/35)*AQ33*AR33*VLOOKUP('Données projet'!$B$10,Paramètres!$A$1:$I$89,3,0)*0.475*44/12</f>
        <v>1.6185931877933664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4.2326676826246441</v>
      </c>
      <c r="AX33" s="23">
        <f t="shared" si="6"/>
        <v>5.8512608704180105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56.440799999999989</v>
      </c>
      <c r="BF33" s="14">
        <f t="shared" si="37"/>
        <v>16.265214007173903</v>
      </c>
      <c r="BG33" s="22">
        <f t="shared" si="7"/>
        <v>126.62964106249451</v>
      </c>
      <c r="BH33" s="62">
        <f t="shared" si="8"/>
        <v>365.73706599553651</v>
      </c>
      <c r="BI33" s="62">
        <f ca="1">AVERAGE(OFFSET($BH$3,0,0,'Données projet'!$E$11+1,1))-AVERAGE(OFFSET($H$3,0,0,'Données projet'!$E$11+1,1))</f>
        <v>352.34406861564418</v>
      </c>
      <c r="BJ33" s="62">
        <f t="shared" si="38"/>
        <v>182.40373266220317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144</v>
      </c>
      <c r="BW33" s="13">
        <f>VLOOKUP(A33,'Données projet'!$A$113:$I$133,9,0)</f>
        <v>10</v>
      </c>
      <c r="BX33" s="13">
        <f t="array" ref="BX33">INDEX(BW:BW,MIN(IF(ISNUMBER(BW33:BW229),ROW(BW33:BW229),"")))</f>
        <v>10</v>
      </c>
      <c r="BY33" s="13">
        <f>IF('Données projet'!$A$114&gt;35,BY32+BX33-CG32,IF(A33&lt;'Données projet'!$A$114,$BV$205^A33,IF(A33='Données projet'!$A$114,'Données projet'!$B$114,BY32+BX33-CG32)))</f>
        <v>143.99999999999997</v>
      </c>
      <c r="BZ33" s="14">
        <f>BY33*VLOOKUP('Données projet'!$B$12,Paramètres!$A$1:$I$89,3,0)*VLOOKUP('Données projet'!$B$12,Paramètres!$A$1:$I$89,5,0)</f>
        <v>125.79839999999999</v>
      </c>
      <c r="CA33" s="14">
        <f t="shared" si="39"/>
        <v>33.023644363399924</v>
      </c>
      <c r="CB33" s="22">
        <f t="shared" si="10"/>
        <v>276.61506059958816</v>
      </c>
      <c r="CC33" s="62">
        <f t="shared" si="11"/>
        <v>515.72248553263012</v>
      </c>
      <c r="CD33" s="62">
        <f ca="1">AVERAGE(OFFSET($CC$3,0,0,'Données projet'!$E$12+1,1))-AVERAGE(OFFSET($H$3,0,0,'Données projet'!$E$12+1,1))</f>
        <v>325.33012514933523</v>
      </c>
      <c r="CE33" s="62">
        <f t="shared" si="40"/>
        <v>332.38915219929675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31</v>
      </c>
      <c r="CH33" s="17">
        <f>IF(ISNA(VLOOKUP(A33,'Données projet'!$A$113:$I$133,5,0)),0%,VLOOKUP(A33,'Données projet'!$A$113:$I$133,5,0)*VLOOKUP('Données projet'!$B$12,Paramètres!$A$1:$I$89,7,0))</f>
        <v>8.6000000000000007E-2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0.8</v>
      </c>
      <c r="CK33" s="23">
        <f>EXP(-LN(2)/35)*CK32+(1-EXP(-LN(2)/35))/(LN(2)/35)*CG33*CH33*VLOOKUP('Données projet'!$B$12,Paramètres!$A$1:$I$89,3,0)*0.475*44/12</f>
        <v>4.8307333837660025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25.248946461836855</v>
      </c>
      <c r="CN33" s="24">
        <f t="shared" si="12"/>
        <v>30.079679845602858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129</v>
      </c>
      <c r="O34" s="14">
        <f>N34*VLOOKUP('Données projet'!$B$9,Paramètres!$A$1:$I$89,3,0)*VLOOKUP('Données projet'!$B$9,Paramètres!$A$1:$I$89,5,0)</f>
        <v>77.14200000000001</v>
      </c>
      <c r="P34" s="14">
        <f t="shared" si="33"/>
        <v>21.436915648510755</v>
      </c>
      <c r="Q34" s="22">
        <f t="shared" si="2"/>
        <v>171.69161142115624</v>
      </c>
      <c r="R34" s="62">
        <f t="shared" si="0"/>
        <v>411.7397346339738</v>
      </c>
      <c r="S34" s="62">
        <f ca="1">AVERAGE(OFFSET($R$3,0,0,'Données projet'!$E$9+1,1))-AVERAGE(OFFSET($H$3,0,0,'Données projet'!$E$9+1,1))</f>
        <v>319.74550658573207</v>
      </c>
      <c r="T34" s="62">
        <f t="shared" si="34"/>
        <v>231.35643408122294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3.7192038472589295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4.520798909386996</v>
      </c>
      <c r="AC34" s="24">
        <f t="shared" si="3"/>
        <v>8.2400027566459251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4.2</v>
      </c>
      <c r="AI34" s="14">
        <f>IF('Données projet'!$A$62&gt;35,AI33+AH34-AQ33,IF(A34&lt;'Données projet'!$A$62,$AF$205^A34,IF(A34='Données projet'!$A$62,'Données projet'!$B$62,AI33+AH34-AQ33)))</f>
        <v>152.19999999999993</v>
      </c>
      <c r="AJ34" s="14">
        <f>AI34*VLOOKUP('Données projet'!$B$10,Paramètres!$A$1:$I$89,3,0)*VLOOKUP('Données projet'!$B$10,Paramètres!$A$1:$I$89,5,0)</f>
        <v>137.71055999999993</v>
      </c>
      <c r="AK34" s="14">
        <f t="shared" si="35"/>
        <v>35.772024702085233</v>
      </c>
      <c r="AL34" s="22">
        <f t="shared" si="4"/>
        <v>302.14883502279832</v>
      </c>
      <c r="AM34" s="62">
        <f t="shared" si="5"/>
        <v>542.19695823561585</v>
      </c>
      <c r="AN34" s="62">
        <f ca="1">AVERAGE(OFFSET($AM$3,0,0,'Données projet'!$E$10+1,1))-AVERAGE(OFFSET($H$3,0,0,'Données projet'!$E$10+1,1))</f>
        <v>254.64144953102331</v>
      </c>
      <c r="AO34" s="62">
        <f t="shared" si="36"/>
        <v>361.41009011468407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1.5868535626251008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2.9929480208930355</v>
      </c>
      <c r="AX34" s="23">
        <f t="shared" si="6"/>
        <v>4.5798015835181367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projet'!$B$11,Paramètres!$A$1:$I$89,3,0)*VLOOKUP('Données projet'!$B$11,Paramètres!$A$1:$I$89,5,0)</f>
        <v>61.666799999999995</v>
      </c>
      <c r="BF34" s="14">
        <f t="shared" si="37"/>
        <v>17.589013941157731</v>
      </c>
      <c r="BG34" s="22">
        <f t="shared" si="7"/>
        <v>138.03720928084971</v>
      </c>
      <c r="BH34" s="62">
        <f t="shared" si="8"/>
        <v>378.08533249366724</v>
      </c>
      <c r="BI34" s="62">
        <f ca="1">AVERAGE(OFFSET($BH$3,0,0,'Données projet'!$E$11+1,1))-AVERAGE(OFFSET($H$3,0,0,'Données projet'!$E$11+1,1))</f>
        <v>352.34406861564418</v>
      </c>
      <c r="BJ34" s="62">
        <f t="shared" si="38"/>
        <v>182.40373266220317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9.1999999999999993</v>
      </c>
      <c r="BY34" s="13">
        <f>IF('Données projet'!$A$114&gt;35,BY33+BX34-CG33,IF(A34&lt;'Données projet'!$A$114,$BV$205^A34,IF(A34='Données projet'!$A$114,'Données projet'!$B$114,BY33+BX34-CG33)))</f>
        <v>122.19999999999996</v>
      </c>
      <c r="BZ34" s="14">
        <f>BY34*VLOOKUP('Données projet'!$B$12,Paramètres!$A$1:$I$89,3,0)*VLOOKUP('Données projet'!$B$12,Paramètres!$A$1:$I$89,5,0)</f>
        <v>106.75391999999998</v>
      </c>
      <c r="CA34" s="14">
        <f t="shared" si="39"/>
        <v>28.564854626855976</v>
      </c>
      <c r="CB34" s="22">
        <f t="shared" si="10"/>
        <v>235.6801991417741</v>
      </c>
      <c r="CC34" s="62">
        <f t="shared" si="11"/>
        <v>475.72832235459168</v>
      </c>
      <c r="CD34" s="62">
        <f ca="1">AVERAGE(OFFSET($CC$3,0,0,'Données projet'!$E$12+1,1))-AVERAGE(OFFSET($H$3,0,0,'Données projet'!$E$12+1,1))</f>
        <v>325.33012514933523</v>
      </c>
      <c r="CE34" s="62">
        <f t="shared" si="40"/>
        <v>332.38915219929675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4.7360056485667767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17.853701260980927</v>
      </c>
      <c r="CN34" s="24">
        <f t="shared" si="12"/>
        <v>22.589706909547704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139</v>
      </c>
      <c r="O35" s="14">
        <f>N35*VLOOKUP('Données projet'!$B$9,Paramètres!$A$1:$I$89,3,0)*VLOOKUP('Données projet'!$B$9,Paramètres!$A$1:$I$89,5,0)</f>
        <v>83.122000000000014</v>
      </c>
      <c r="P35" s="14">
        <f t="shared" si="33"/>
        <v>22.898820278178533</v>
      </c>
      <c r="Q35" s="22">
        <f t="shared" ref="Q35:Q66" si="53">(O35+P35)*0.475*44/12</f>
        <v>184.65292865116098</v>
      </c>
      <c r="R35" s="62">
        <f t="shared" si="0"/>
        <v>425.6254311316863</v>
      </c>
      <c r="S35" s="62">
        <f ca="1">AVERAGE(OFFSET($R$3,0,0,'Données projet'!$E$9+1,1))-AVERAGE(OFFSET($H$3,0,0,'Données projet'!$E$9+1,1))</f>
        <v>319.74550658573207</v>
      </c>
      <c r="T35" s="62">
        <f t="shared" si="34"/>
        <v>231.35643408122294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3.6462725283045341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3.1966875652082933</v>
      </c>
      <c r="AC35" s="24">
        <f t="shared" si="3"/>
        <v>6.8429600935128274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4.2</v>
      </c>
      <c r="AI35" s="14">
        <f>IF('Données projet'!$A$62&gt;35,AI34+AH35-AQ34,IF(A35&lt;'Données projet'!$A$62,$AF$205^A35,IF(A35='Données projet'!$A$62,'Données projet'!$B$62,AI34+AH35-AQ34)))</f>
        <v>156.39999999999992</v>
      </c>
      <c r="AJ35" s="14">
        <f>AI35*VLOOKUP('Données projet'!$B$10,Paramètres!$A$1:$I$89,3,0)*VLOOKUP('Données projet'!$B$10,Paramètres!$A$1:$I$89,5,0)</f>
        <v>141.51071999999994</v>
      </c>
      <c r="AK35" s="14">
        <f t="shared" si="35"/>
        <v>36.642873749766764</v>
      </c>
      <c r="AL35" s="22">
        <f t="shared" si="4"/>
        <v>310.28417578084361</v>
      </c>
      <c r="AM35" s="62">
        <f t="shared" si="5"/>
        <v>551.25667826136896</v>
      </c>
      <c r="AN35" s="62">
        <f ca="1">AVERAGE(OFFSET($AM$3,0,0,'Données projet'!$E$10+1,1))-AVERAGE(OFFSET($H$3,0,0,'Données projet'!$E$10+1,1))</f>
        <v>254.64144953102331</v>
      </c>
      <c r="AO35" s="62">
        <f t="shared" si="36"/>
        <v>361.41009011468407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1.5557363321471251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2.1163338413123221</v>
      </c>
      <c r="AX35" s="23">
        <f t="shared" si="6"/>
        <v>3.6720701734594474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projet'!$B$11,Paramètres!$A$1:$I$89,3,0)*VLOOKUP('Données projet'!$B$11,Paramètres!$A$1:$I$89,5,0)</f>
        <v>66.892799999999994</v>
      </c>
      <c r="BF35" s="14">
        <f t="shared" si="37"/>
        <v>18.899803142639634</v>
      </c>
      <c r="BG35" s="22">
        <f t="shared" si="7"/>
        <v>149.42211714009736</v>
      </c>
      <c r="BH35" s="62">
        <f t="shared" si="8"/>
        <v>390.39461962062268</v>
      </c>
      <c r="BI35" s="62">
        <f ca="1">AVERAGE(OFFSET($BH$3,0,0,'Données projet'!$E$11+1,1))-AVERAGE(OFFSET($H$3,0,0,'Données projet'!$E$11+1,1))</f>
        <v>352.34406861564418</v>
      </c>
      <c r="BJ35" s="62">
        <f t="shared" si="38"/>
        <v>182.40373266220317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9.1999999999999993</v>
      </c>
      <c r="BY35" s="13">
        <f>IF('Données projet'!$A$114&gt;35,BY34+BX35-CG34,IF(A35&lt;'Données projet'!$A$114,$BV$205^A35,IF(A35='Données projet'!$A$114,'Données projet'!$B$114,BY34+BX35-CG34)))</f>
        <v>131.39999999999995</v>
      </c>
      <c r="BZ35" s="14">
        <f>BY35*VLOOKUP('Données projet'!$B$12,Paramètres!$A$1:$I$89,3,0)*VLOOKUP('Données projet'!$B$12,Paramètres!$A$1:$I$89,5,0)</f>
        <v>114.79103999999997</v>
      </c>
      <c r="CA35" s="14">
        <f t="shared" si="39"/>
        <v>30.456974896543485</v>
      </c>
      <c r="CB35" s="22">
        <f t="shared" si="10"/>
        <v>252.97362594481319</v>
      </c>
      <c r="CC35" s="62">
        <f t="shared" si="11"/>
        <v>493.94612842533854</v>
      </c>
      <c r="CD35" s="62">
        <f ca="1">AVERAGE(OFFSET($CC$3,0,0,'Données projet'!$E$12+1,1))-AVERAGE(OFFSET($H$3,0,0,'Données projet'!$E$12+1,1))</f>
        <v>325.33012514933523</v>
      </c>
      <c r="CE35" s="62">
        <f t="shared" si="40"/>
        <v>332.38915219929675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4.6431354664765943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12.624473230918429</v>
      </c>
      <c r="CN35" s="24">
        <f t="shared" si="12"/>
        <v>17.267608697395023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149</v>
      </c>
      <c r="O36" s="14">
        <f>N36*VLOOKUP('Données projet'!$B$9,Paramètres!$A$1:$I$89,3,0)*VLOOKUP('Données projet'!$B$9,Paramètres!$A$1:$I$89,5,0)</f>
        <v>89.102000000000018</v>
      </c>
      <c r="P36" s="14">
        <f t="shared" si="33"/>
        <v>24.348522781128082</v>
      </c>
      <c r="Q36" s="22">
        <f t="shared" si="53"/>
        <v>197.5929938437981</v>
      </c>
      <c r="R36" s="62">
        <f t="shared" si="0"/>
        <v>439.47383967833883</v>
      </c>
      <c r="S36" s="62">
        <f ca="1">AVERAGE(OFFSET($R$3,0,0,'Données projet'!$E$9+1,1))-AVERAGE(OFFSET($H$3,0,0,'Données projet'!$E$9+1,1))</f>
        <v>319.74550658573207</v>
      </c>
      <c r="T36" s="62">
        <f t="shared" si="34"/>
        <v>231.35643408122294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3.5747713480311218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2.260399454693498</v>
      </c>
      <c r="AC36" s="24">
        <f t="shared" si="3"/>
        <v>5.8351708027246199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4.2</v>
      </c>
      <c r="AI36" s="14">
        <f>IF('Données projet'!$A$62&gt;35,AI35+AH36-AQ35,IF(A36&lt;'Données projet'!$A$62,$AF$205^A36,IF(A36='Données projet'!$A$62,'Données projet'!$B$62,AI35+AH36-AQ35)))</f>
        <v>160.59999999999991</v>
      </c>
      <c r="AJ36" s="14">
        <f>AI36*VLOOKUP('Données projet'!$B$10,Paramètres!$A$1:$I$89,3,0)*VLOOKUP('Données projet'!$B$10,Paramètres!$A$1:$I$89,5,0)</f>
        <v>145.31087999999991</v>
      </c>
      <c r="AK36" s="14">
        <f t="shared" si="35"/>
        <v>37.511004575106362</v>
      </c>
      <c r="AL36" s="22">
        <f t="shared" si="4"/>
        <v>318.41478230164341</v>
      </c>
      <c r="AM36" s="62">
        <f t="shared" si="5"/>
        <v>560.29562813618418</v>
      </c>
      <c r="AN36" s="62">
        <f ca="1">AVERAGE(OFFSET($AM$3,0,0,'Données projet'!$E$10+1,1))-AVERAGE(OFFSET($H$3,0,0,'Données projet'!$E$10+1,1))</f>
        <v>254.64144953102331</v>
      </c>
      <c r="AO36" s="62">
        <f t="shared" si="36"/>
        <v>361.41009011468407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1.5252292915791861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1.4964740104465177</v>
      </c>
      <c r="AX36" s="23">
        <f t="shared" si="6"/>
        <v>3.0217033020257036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projet'!$B$11,Paramètres!$A$1:$I$89,3,0)*VLOOKUP('Données projet'!$B$11,Paramètres!$A$1:$I$89,5,0)</f>
        <v>72.118799999999993</v>
      </c>
      <c r="BF36" s="14">
        <f t="shared" si="37"/>
        <v>20.198713641862817</v>
      </c>
      <c r="BG36" s="22">
        <f t="shared" si="7"/>
        <v>160.78633625957769</v>
      </c>
      <c r="BH36" s="62">
        <f t="shared" si="8"/>
        <v>402.6671820941184</v>
      </c>
      <c r="BI36" s="62">
        <f ca="1">AVERAGE(OFFSET($BH$3,0,0,'Données projet'!$E$11+1,1))-AVERAGE(OFFSET($H$3,0,0,'Données projet'!$E$11+1,1))</f>
        <v>352.34406861564418</v>
      </c>
      <c r="BJ36" s="62">
        <f t="shared" si="38"/>
        <v>182.40373266220317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9.1999999999999993</v>
      </c>
      <c r="BY36" s="13">
        <f>IF('Données projet'!$A$114&gt;35,BY35+BX36-CG35,IF(A36&lt;'Données projet'!$A$114,$BV$205^A36,IF(A36='Données projet'!$A$114,'Données projet'!$B$114,BY35+BX36-CG35)))</f>
        <v>140.59999999999994</v>
      </c>
      <c r="BZ36" s="14">
        <f>BY36*VLOOKUP('Données projet'!$B$12,Paramètres!$A$1:$I$89,3,0)*VLOOKUP('Données projet'!$B$12,Paramètres!$A$1:$I$89,5,0)</f>
        <v>122.82815999999997</v>
      </c>
      <c r="CA36" s="14">
        <f t="shared" si="39"/>
        <v>32.333724232859019</v>
      </c>
      <c r="CB36" s="22">
        <f t="shared" si="10"/>
        <v>270.24028170556272</v>
      </c>
      <c r="CC36" s="62">
        <f t="shared" si="11"/>
        <v>512.12112754010343</v>
      </c>
      <c r="CD36" s="62">
        <f ca="1">AVERAGE(OFFSET($CC$3,0,0,'Données projet'!$E$12+1,1))-AVERAGE(OFFSET($H$3,0,0,'Données projet'!$E$12+1,1))</f>
        <v>325.33012514933523</v>
      </c>
      <c r="CE36" s="62">
        <f t="shared" si="40"/>
        <v>332.38915219929675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4.5520864120119828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8.9268506304904651</v>
      </c>
      <c r="CN36" s="24">
        <f t="shared" si="12"/>
        <v>13.478937042502448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159</v>
      </c>
      <c r="O37" s="14">
        <f>N37*VLOOKUP('Données projet'!$B$9,Paramètres!$A$1:$I$89,3,0)*VLOOKUP('Données projet'!$B$9,Paramètres!$A$1:$I$89,5,0)</f>
        <v>95.082000000000008</v>
      </c>
      <c r="P37" s="14">
        <f t="shared" si="33"/>
        <v>25.786935269387122</v>
      </c>
      <c r="Q37" s="22">
        <f t="shared" si="53"/>
        <v>210.51339559418258</v>
      </c>
      <c r="R37" s="62">
        <f t="shared" si="0"/>
        <v>453.28682705629819</v>
      </c>
      <c r="S37" s="62">
        <f ca="1">AVERAGE(OFFSET($R$3,0,0,'Données projet'!$E$9+1,1))-AVERAGE(OFFSET($H$3,0,0,'Données projet'!$E$9+1,1))</f>
        <v>319.74550658573207</v>
      </c>
      <c r="T37" s="62">
        <f t="shared" si="34"/>
        <v>231.35643408122294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3.5046722622914577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1.5983437826041467</v>
      </c>
      <c r="AC37" s="24">
        <f t="shared" si="3"/>
        <v>5.1030160448956039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4.2</v>
      </c>
      <c r="AI37" s="14">
        <f>IF('Données projet'!$A$62&gt;35,AI36+AH37-AQ36,IF(A37&lt;'Données projet'!$A$62,$AF$205^A37,IF(A37='Données projet'!$A$62,'Données projet'!$B$62,AI36+AH37-AQ36)))</f>
        <v>164.7999999999999</v>
      </c>
      <c r="AJ37" s="14">
        <f>AI37*VLOOKUP('Données projet'!$B$10,Paramètres!$A$1:$I$89,3,0)*VLOOKUP('Données projet'!$B$10,Paramètres!$A$1:$I$89,5,0)</f>
        <v>149.11103999999989</v>
      </c>
      <c r="AK37" s="14">
        <f t="shared" si="35"/>
        <v>38.376496436982357</v>
      </c>
      <c r="AL37" s="22">
        <f t="shared" si="4"/>
        <v>326.54079262774405</v>
      </c>
      <c r="AM37" s="62">
        <f t="shared" si="5"/>
        <v>569.31422408985964</v>
      </c>
      <c r="AN37" s="62">
        <f ca="1">AVERAGE(OFFSET($AM$3,0,0,'Données projet'!$E$10+1,1))-AVERAGE(OFFSET($H$3,0,0,'Données projet'!$E$10+1,1))</f>
        <v>254.64144953102331</v>
      </c>
      <c r="AO37" s="62">
        <f t="shared" si="36"/>
        <v>361.41009011468407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1.4953204754693268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1.058166920656161</v>
      </c>
      <c r="AX37" s="23">
        <f t="shared" si="6"/>
        <v>2.5534873961254876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projet'!$B$11,Paramètres!$A$1:$I$89,3,0)*VLOOKUP('Données projet'!$B$11,Paramètres!$A$1:$I$89,5,0)</f>
        <v>77.344799999999992</v>
      </c>
      <c r="BF37" s="14">
        <f t="shared" si="37"/>
        <v>21.486704106300962</v>
      </c>
      <c r="BG37" s="22">
        <f t="shared" si="7"/>
        <v>172.13153631847419</v>
      </c>
      <c r="BH37" s="62">
        <f t="shared" si="8"/>
        <v>414.9049677805898</v>
      </c>
      <c r="BI37" s="62">
        <f ca="1">AVERAGE(OFFSET($BH$3,0,0,'Données projet'!$E$11+1,1))-AVERAGE(OFFSET($H$3,0,0,'Données projet'!$E$11+1,1))</f>
        <v>352.34406861564418</v>
      </c>
      <c r="BJ37" s="62">
        <f t="shared" si="38"/>
        <v>182.40373266220317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9.1999999999999993</v>
      </c>
      <c r="BY37" s="13">
        <f>IF('Données projet'!$A$114&gt;35,BY36+BX37-CG36,IF(A37&lt;'Données projet'!$A$114,$BV$205^A37,IF(A37='Données projet'!$A$114,'Données projet'!$B$114,BY36+BX37-CG36)))</f>
        <v>149.79999999999993</v>
      </c>
      <c r="BZ37" s="14">
        <f>BY37*VLOOKUP('Données projet'!$B$12,Paramètres!$A$1:$I$89,3,0)*VLOOKUP('Données projet'!$B$12,Paramètres!$A$1:$I$89,5,0)</f>
        <v>130.86527999999996</v>
      </c>
      <c r="CA37" s="14">
        <f t="shared" si="39"/>
        <v>34.19622287336729</v>
      </c>
      <c r="CB37" s="22">
        <f t="shared" si="10"/>
        <v>287.48211750444796</v>
      </c>
      <c r="CC37" s="62">
        <f t="shared" si="11"/>
        <v>530.25554896656354</v>
      </c>
      <c r="CD37" s="62">
        <f ca="1">AVERAGE(OFFSET($CC$3,0,0,'Données projet'!$E$12+1,1))-AVERAGE(OFFSET($H$3,0,0,'Données projet'!$E$12+1,1))</f>
        <v>325.33012514933523</v>
      </c>
      <c r="CE37" s="62">
        <f t="shared" si="40"/>
        <v>332.38915219929675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4.4628227739709825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6.3122366154592155</v>
      </c>
      <c r="CN37" s="24">
        <f t="shared" si="12"/>
        <v>10.775059389430197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169</v>
      </c>
      <c r="L38" s="13">
        <f>VLOOKUP(A38,'Données projet'!$A$35:$I$55,9,0)</f>
        <v>10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169</v>
      </c>
      <c r="O38" s="14">
        <f>N38*VLOOKUP('Données projet'!$B$9,Paramètres!$A$1:$I$89,3,0)*VLOOKUP('Données projet'!$B$9,Paramètres!$A$1:$I$89,5,0)</f>
        <v>101.06200000000001</v>
      </c>
      <c r="P38" s="14">
        <f t="shared" si="33"/>
        <v>27.214848638810562</v>
      </c>
      <c r="Q38" s="22">
        <f t="shared" si="53"/>
        <v>223.41551137926174</v>
      </c>
      <c r="R38" s="62">
        <f t="shared" si="0"/>
        <v>467.06604410383625</v>
      </c>
      <c r="S38" s="62">
        <f ca="1">AVERAGE(OFFSET($R$3,0,0,'Données projet'!$E$9+1,1))-AVERAGE(OFFSET($H$3,0,0,'Données projet'!$E$9+1,1))</f>
        <v>319.74550658573207</v>
      </c>
      <c r="T38" s="62">
        <f t="shared" si="34"/>
        <v>231.35643408122294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3.4359477768669278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1.130199727346749</v>
      </c>
      <c r="AC38" s="24">
        <f t="shared" si="3"/>
        <v>4.566147504213677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169</v>
      </c>
      <c r="AG38" s="13">
        <f>VLOOKUP(A38,'Données projet'!$A$61:$I$81,9,0)</f>
        <v>4.2</v>
      </c>
      <c r="AH38" s="13">
        <f t="array" ref="AH38">INDEX(AG:AG,MIN(IF(ISNUMBER(AG38:AG234),ROW(AG38:AG234),"")))</f>
        <v>4.2</v>
      </c>
      <c r="AI38" s="14">
        <f>IF('Données projet'!$A$62&gt;35,AI37+AH38-AQ37,IF(A38&lt;'Données projet'!$A$62,$AF$205^A38,IF(A38='Données projet'!$A$62,'Données projet'!$B$62,AI37+AH38-AQ37)))</f>
        <v>168.99999999999989</v>
      </c>
      <c r="AJ38" s="14">
        <f>AI38*VLOOKUP('Données projet'!$B$10,Paramètres!$A$1:$I$89,3,0)*VLOOKUP('Données projet'!$B$10,Paramètres!$A$1:$I$89,5,0)</f>
        <v>152.91119999999989</v>
      </c>
      <c r="AK38" s="14">
        <f t="shared" si="35"/>
        <v>39.239424324197508</v>
      </c>
      <c r="AL38" s="22">
        <f t="shared" si="4"/>
        <v>334.66233736464375</v>
      </c>
      <c r="AM38" s="62">
        <f t="shared" si="5"/>
        <v>578.31287008921822</v>
      </c>
      <c r="AN38" s="62">
        <f ca="1">AVERAGE(OFFSET($AM$3,0,0,'Données projet'!$E$10+1,1))-AVERAGE(OFFSET($H$3,0,0,'Données projet'!$E$10+1,1))</f>
        <v>254.64144953102331</v>
      </c>
      <c r="AO38" s="62">
        <f t="shared" si="36"/>
        <v>361.41009011468407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5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1.4659981530008053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0.74823700522325887</v>
      </c>
      <c r="AX38" s="23">
        <f t="shared" si="6"/>
        <v>2.214235158224064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projet'!$B$11,Paramètres!$A$1:$I$89,3,0)*VLOOKUP('Données projet'!$B$11,Paramètres!$A$1:$I$89,5,0)</f>
        <v>82.570799999999991</v>
      </c>
      <c r="BF38" s="14">
        <f t="shared" si="37"/>
        <v>22.764596322636297</v>
      </c>
      <c r="BG38" s="22">
        <f t="shared" si="7"/>
        <v>183.4591485952582</v>
      </c>
      <c r="BH38" s="62">
        <f t="shared" si="8"/>
        <v>427.1096813198327</v>
      </c>
      <c r="BI38" s="62">
        <f ca="1">AVERAGE(OFFSET($BH$3,0,0,'Données projet'!$E$11+1,1))-AVERAGE(OFFSET($H$3,0,0,'Données projet'!$E$11+1,1))</f>
        <v>352.34406861564418</v>
      </c>
      <c r="BJ38" s="62">
        <f t="shared" si="38"/>
        <v>182.40373266220317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159</v>
      </c>
      <c r="BW38" s="13">
        <f>VLOOKUP(A38,'Données projet'!$A$113:$I$133,9,0)</f>
        <v>9.1999999999999993</v>
      </c>
      <c r="BX38" s="13">
        <f t="array" ref="BX38">INDEX(BW:BW,MIN(IF(ISNUMBER(BW38:BW234),ROW(BW38:BW234),"")))</f>
        <v>9.1999999999999993</v>
      </c>
      <c r="BY38" s="13">
        <f>IF('Données projet'!$A$114&gt;35,BY37+BX38-CG37,IF(A38&lt;'Données projet'!$A$114,$BV$205^A38,IF(A38='Données projet'!$A$114,'Données projet'!$B$114,BY37+BX38-CG37)))</f>
        <v>158.99999999999991</v>
      </c>
      <c r="BZ38" s="14">
        <f>BY38*VLOOKUP('Données projet'!$B$12,Paramètres!$A$1:$I$89,3,0)*VLOOKUP('Données projet'!$B$12,Paramètres!$A$1:$I$89,5,0)</f>
        <v>138.90239999999994</v>
      </c>
      <c r="CA38" s="14">
        <f t="shared" si="39"/>
        <v>36.045445680666425</v>
      </c>
      <c r="CB38" s="22">
        <f t="shared" si="10"/>
        <v>304.70083122716056</v>
      </c>
      <c r="CC38" s="62">
        <f t="shared" si="11"/>
        <v>548.35136395173504</v>
      </c>
      <c r="CD38" s="62">
        <f ca="1">AVERAGE(OFFSET($CC$3,0,0,'Données projet'!$E$12+1,1))-AVERAGE(OFFSET($H$3,0,0,'Données projet'!$E$12+1,1))</f>
        <v>325.33012514933523</v>
      </c>
      <c r="CE38" s="62">
        <f t="shared" si="40"/>
        <v>332.38915219929675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30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4.3753095414265228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4.4634253152452334</v>
      </c>
      <c r="CN38" s="24">
        <f t="shared" si="12"/>
        <v>8.8387348566717563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12.4</v>
      </c>
      <c r="N39" s="14">
        <f>IF('Données projet'!$A$36&gt;35,N38+M39-V38,IF(A39&lt;'Données projet'!$A$36,$K$205^A39,IF(A39='Données projet'!$A$36,'Données projet'!$B$36,N38+M39-V38)))</f>
        <v>158.4</v>
      </c>
      <c r="O39" s="14">
        <f>N39*VLOOKUP('Données projet'!$B$9,Paramètres!$A$1:$I$89,3,0)*VLOOKUP('Données projet'!$B$9,Paramètres!$A$1:$I$89,5,0)</f>
        <v>94.723200000000006</v>
      </c>
      <c r="P39" s="14">
        <f t="shared" si="33"/>
        <v>25.700933959119112</v>
      </c>
      <c r="Q39" s="22">
        <f t="shared" si="53"/>
        <v>209.7386999787991</v>
      </c>
      <c r="R39" s="62">
        <f t="shared" si="0"/>
        <v>454.25111821983353</v>
      </c>
      <c r="S39" s="62">
        <f ca="1">AVERAGE(OFFSET($R$3,0,0,'Données projet'!$E$9+1,1))-AVERAGE(OFFSET($H$3,0,0,'Données projet'!$E$9+1,1))</f>
        <v>319.74550658573207</v>
      </c>
      <c r="T39" s="62">
        <f t="shared" si="34"/>
        <v>231.35643408122294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3.3685709366837759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0.79917189130207333</v>
      </c>
      <c r="AC39" s="24">
        <f t="shared" si="3"/>
        <v>4.1677428279858493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3.8</v>
      </c>
      <c r="AI39" s="14">
        <f>IF('Données projet'!$A$62&gt;35,AI38+AH39-AQ38,IF(A39&lt;'Données projet'!$A$62,$AF$205^A39,IF(A39='Données projet'!$A$62,'Données projet'!$B$62,AI38+AH39-AQ38)))</f>
        <v>167.7999999999999</v>
      </c>
      <c r="AJ39" s="14">
        <f>AI39*VLOOKUP('Données projet'!$B$10,Paramètres!$A$1:$I$89,3,0)*VLOOKUP('Données projet'!$B$10,Paramètres!$A$1:$I$89,5,0)</f>
        <v>151.8254399999999</v>
      </c>
      <c r="AK39" s="14">
        <f t="shared" si="35"/>
        <v>38.993130915848106</v>
      </c>
      <c r="AL39" s="22">
        <f t="shared" si="4"/>
        <v>332.34234434510194</v>
      </c>
      <c r="AM39" s="62">
        <f t="shared" si="5"/>
        <v>576.8547625861363</v>
      </c>
      <c r="AN39" s="62">
        <f ca="1">AVERAGE(OFFSET($AM$3,0,0,'Données projet'!$E$10+1,1))-AVERAGE(OFFSET($H$3,0,0,'Données projet'!$E$10+1,1))</f>
        <v>254.64144953102331</v>
      </c>
      <c r="AO39" s="62">
        <f t="shared" si="36"/>
        <v>361.41009011468407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1.4372508233910408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0.52908346032808051</v>
      </c>
      <c r="AX39" s="23">
        <f t="shared" si="6"/>
        <v>1.9663342837191213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71.399999999999991</v>
      </c>
      <c r="BE39" s="14">
        <f>BD39*VLOOKUP('Données projet'!$B$11,Paramètres!$A$1:$I$89,3,0)*VLOOKUP('Données projet'!$B$11,Paramètres!$A$1:$I$89,5,0)</f>
        <v>74.627279999999999</v>
      </c>
      <c r="BF39" s="14">
        <f t="shared" si="37"/>
        <v>20.81825843795977</v>
      </c>
      <c r="BG39" s="22">
        <f t="shared" si="7"/>
        <v>166.23431277944658</v>
      </c>
      <c r="BH39" s="62">
        <f t="shared" si="8"/>
        <v>410.74673102048098</v>
      </c>
      <c r="BI39" s="62">
        <f ca="1">AVERAGE(OFFSET($BH$3,0,0,'Données projet'!$E$11+1,1))-AVERAGE(OFFSET($H$3,0,0,'Données projet'!$E$11+1,1))</f>
        <v>352.34406861564418</v>
      </c>
      <c r="BJ39" s="62">
        <f t="shared" si="38"/>
        <v>182.40373266220317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8.1999999999999993</v>
      </c>
      <c r="BY39" s="13">
        <f>IF('Données projet'!$A$114&gt;35,BY38+BX39-CG38,IF(A39&lt;'Données projet'!$A$114,$BV$205^A39,IF(A39='Données projet'!$A$114,'Données projet'!$B$114,BY38+BX39-CG38)))</f>
        <v>137.1999999999999</v>
      </c>
      <c r="BZ39" s="14">
        <f>BY39*VLOOKUP('Données projet'!$B$12,Paramètres!$A$1:$I$89,3,0)*VLOOKUP('Données projet'!$B$12,Paramètres!$A$1:$I$89,5,0)</f>
        <v>119.85791999999992</v>
      </c>
      <c r="CA39" s="14">
        <f t="shared" si="39"/>
        <v>31.641859182846865</v>
      </c>
      <c r="CB39" s="22">
        <f t="shared" si="10"/>
        <v>263.86211541012477</v>
      </c>
      <c r="CC39" s="62">
        <f t="shared" si="11"/>
        <v>508.3745336511592</v>
      </c>
      <c r="CD39" s="62">
        <f ca="1">AVERAGE(OFFSET($CC$3,0,0,'Données projet'!$E$12+1,1))-AVERAGE(OFFSET($H$3,0,0,'Données projet'!$E$12+1,1))</f>
        <v>325.33012514933523</v>
      </c>
      <c r="CE39" s="62">
        <f t="shared" si="40"/>
        <v>332.38915219929675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4.2895123899944592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3.1561183077296082</v>
      </c>
      <c r="CN39" s="24">
        <f t="shared" si="12"/>
        <v>7.4456306977240674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12.4</v>
      </c>
      <c r="N40" s="14">
        <f>IF('Données projet'!$A$36&gt;35,N39+M40-V39,IF(A40&lt;'Données projet'!$A$36,$K$205^A40,IF(A40='Données projet'!$A$36,'Données projet'!$B$36,N39+M40-V39)))</f>
        <v>170.8</v>
      </c>
      <c r="O40" s="14">
        <f>N40*VLOOKUP('Données projet'!$B$9,Paramètres!$A$1:$I$89,3,0)*VLOOKUP('Données projet'!$B$9,Paramètres!$A$1:$I$89,5,0)</f>
        <v>102.13840000000002</v>
      </c>
      <c r="P40" s="14">
        <f t="shared" si="33"/>
        <v>27.470812821300004</v>
      </c>
      <c r="Q40" s="22">
        <f t="shared" si="53"/>
        <v>225.7360456637642</v>
      </c>
      <c r="R40" s="62">
        <f t="shared" si="0"/>
        <v>471.0953976344353</v>
      </c>
      <c r="S40" s="62">
        <f ca="1">AVERAGE(OFFSET($R$3,0,0,'Données projet'!$E$9+1,1))-AVERAGE(OFFSET($H$3,0,0,'Données projet'!$E$9+1,1))</f>
        <v>319.74550658573207</v>
      </c>
      <c r="T40" s="62">
        <f t="shared" si="34"/>
        <v>231.35643408122294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3.3025153152408011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0.5650998636733745</v>
      </c>
      <c r="AC40" s="24">
        <f t="shared" si="3"/>
        <v>3.8676151789141757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3.8</v>
      </c>
      <c r="AI40" s="14">
        <f>IF('Données projet'!$A$62&gt;35,AI39+AH40-AQ39,IF(A40&lt;'Données projet'!$A$62,$AF$205^A40,IF(A40='Données projet'!$A$62,'Données projet'!$B$62,AI39+AH40-AQ39)))</f>
        <v>171.59999999999991</v>
      </c>
      <c r="AJ40" s="14">
        <f>AI40*VLOOKUP('Données projet'!$B$10,Paramètres!$A$1:$I$89,3,0)*VLOOKUP('Données projet'!$B$10,Paramètres!$A$1:$I$89,5,0)</f>
        <v>155.26367999999991</v>
      </c>
      <c r="AK40" s="14">
        <f t="shared" si="35"/>
        <v>39.77236412265178</v>
      </c>
      <c r="AL40" s="22">
        <f t="shared" si="4"/>
        <v>339.68777684695164</v>
      </c>
      <c r="AM40" s="62">
        <f t="shared" si="5"/>
        <v>585.04712881762271</v>
      </c>
      <c r="AN40" s="62">
        <f ca="1">AVERAGE(OFFSET($AM$3,0,0,'Données projet'!$E$10+1,1))-AVERAGE(OFFSET($H$3,0,0,'Données projet'!$E$10+1,1))</f>
        <v>254.64144953102331</v>
      </c>
      <c r="AO40" s="62">
        <f t="shared" si="36"/>
        <v>361.41009011468407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1.4090672113807841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0.37411850261162943</v>
      </c>
      <c r="AX40" s="23">
        <f t="shared" si="6"/>
        <v>1.7831857139924134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76.8</v>
      </c>
      <c r="BE40" s="14">
        <f>BD40*VLOOKUP('Données projet'!$B$11,Paramètres!$A$1:$I$89,3,0)*VLOOKUP('Données projet'!$B$11,Paramètres!$A$1:$I$89,5,0)</f>
        <v>80.271360000000001</v>
      </c>
      <c r="BF40" s="14">
        <f t="shared" si="37"/>
        <v>22.203519977650487</v>
      </c>
      <c r="BG40" s="22">
        <f t="shared" si="7"/>
        <v>178.47708262774123</v>
      </c>
      <c r="BH40" s="62">
        <f t="shared" si="8"/>
        <v>423.83643459841232</v>
      </c>
      <c r="BI40" s="62">
        <f ca="1">AVERAGE(OFFSET($BH$3,0,0,'Données projet'!$E$11+1,1))-AVERAGE(OFFSET($H$3,0,0,'Données projet'!$E$11+1,1))</f>
        <v>352.34406861564418</v>
      </c>
      <c r="BJ40" s="62">
        <f t="shared" si="38"/>
        <v>182.40373266220317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8.1999999999999993</v>
      </c>
      <c r="BY40" s="13">
        <f>IF('Données projet'!$A$114&gt;35,BY39+BX40-CG39,IF(A40&lt;'Données projet'!$A$114,$BV$205^A40,IF(A40='Données projet'!$A$114,'Données projet'!$B$114,BY39+BX40-CG39)))</f>
        <v>145.39999999999989</v>
      </c>
      <c r="BZ40" s="14">
        <f>BY40*VLOOKUP('Données projet'!$B$12,Paramètres!$A$1:$I$89,3,0)*VLOOKUP('Données projet'!$B$12,Paramètres!$A$1:$I$89,5,0)</f>
        <v>127.02143999999993</v>
      </c>
      <c r="CA40" s="14">
        <f t="shared" si="39"/>
        <v>33.307175870664402</v>
      </c>
      <c r="CB40" s="22">
        <f t="shared" si="10"/>
        <v>279.23900597474034</v>
      </c>
      <c r="CC40" s="62">
        <f t="shared" si="11"/>
        <v>524.59835794541141</v>
      </c>
      <c r="CD40" s="62">
        <f ca="1">AVERAGE(OFFSET($CC$3,0,0,'Données projet'!$E$12+1,1))-AVERAGE(OFFSET($H$3,0,0,'Données projet'!$E$12+1,1))</f>
        <v>325.33012514933523</v>
      </c>
      <c r="CE40" s="62">
        <f t="shared" si="40"/>
        <v>332.38915219929675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4.2053976683708836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2.2317126576226167</v>
      </c>
      <c r="CN40" s="24">
        <f t="shared" si="12"/>
        <v>6.4371103259935003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12.4</v>
      </c>
      <c r="N41" s="14">
        <f>IF('Données projet'!$A$36&gt;35,N40+M41-V40,IF(A41&lt;'Données projet'!$A$36,$K$205^A41,IF(A41='Données projet'!$A$36,'Données projet'!$B$36,N40+M41-V40)))</f>
        <v>183.20000000000002</v>
      </c>
      <c r="O41" s="14">
        <f>N41*VLOOKUP('Données projet'!$B$9,Paramètres!$A$1:$I$89,3,0)*VLOOKUP('Données projet'!$B$9,Paramètres!$A$1:$I$89,5,0)</f>
        <v>109.55360000000002</v>
      </c>
      <c r="P41" s="14">
        <f t="shared" si="33"/>
        <v>29.225784372214765</v>
      </c>
      <c r="Q41" s="22">
        <f t="shared" si="53"/>
        <v>241.70742778160744</v>
      </c>
      <c r="R41" s="62">
        <f t="shared" si="0"/>
        <v>487.89902107516616</v>
      </c>
      <c r="S41" s="62">
        <f ca="1">AVERAGE(OFFSET($R$3,0,0,'Données projet'!$E$9+1,1))-AVERAGE(OFFSET($H$3,0,0,'Données projet'!$E$9+1,1))</f>
        <v>319.74550658573207</v>
      </c>
      <c r="T41" s="62">
        <f t="shared" si="34"/>
        <v>231.35643408122294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3.2377550042443723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0.39958594565103667</v>
      </c>
      <c r="AC41" s="24">
        <f t="shared" si="3"/>
        <v>3.637340949895409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3.8</v>
      </c>
      <c r="AI41" s="14">
        <f>IF('Données projet'!$A$62&gt;35,AI40+AH41-AQ40,IF(A41&lt;'Données projet'!$A$62,$AF$205^A41,IF(A41='Données projet'!$A$62,'Données projet'!$B$62,AI40+AH41-AQ40)))</f>
        <v>175.39999999999992</v>
      </c>
      <c r="AJ41" s="14">
        <f>AI41*VLOOKUP('Données projet'!$B$10,Paramètres!$A$1:$I$89,3,0)*VLOOKUP('Données projet'!$B$10,Paramètres!$A$1:$I$89,5,0)</f>
        <v>158.70191999999992</v>
      </c>
      <c r="AK41" s="14">
        <f t="shared" si="35"/>
        <v>40.549591173644728</v>
      </c>
      <c r="AL41" s="22">
        <f t="shared" si="4"/>
        <v>347.02971529409774</v>
      </c>
      <c r="AM41" s="62">
        <f t="shared" si="5"/>
        <v>593.22130858765649</v>
      </c>
      <c r="AN41" s="62">
        <f ca="1">AVERAGE(OFFSET($AM$3,0,0,'Données projet'!$E$10+1,1))-AVERAGE(OFFSET($H$3,0,0,'Données projet'!$E$10+1,1))</f>
        <v>254.64144953102331</v>
      </c>
      <c r="AO41" s="62">
        <f t="shared" si="36"/>
        <v>361.41009011468407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1.3814362628117425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0.26454173016404026</v>
      </c>
      <c r="AX41" s="23">
        <f t="shared" si="6"/>
        <v>1.6459779929757827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82.2</v>
      </c>
      <c r="BE41" s="14">
        <f>BD41*VLOOKUP('Données projet'!$B$11,Paramètres!$A$1:$I$89,3,0)*VLOOKUP('Données projet'!$B$11,Paramètres!$A$1:$I$89,5,0)</f>
        <v>85.915440000000018</v>
      </c>
      <c r="BF41" s="14">
        <f t="shared" si="37"/>
        <v>23.577480461041315</v>
      </c>
      <c r="BG41" s="22">
        <f t="shared" si="7"/>
        <v>190.70016980298033</v>
      </c>
      <c r="BH41" s="62">
        <f t="shared" si="8"/>
        <v>436.89176309653908</v>
      </c>
      <c r="BI41" s="62">
        <f ca="1">AVERAGE(OFFSET($BH$3,0,0,'Données projet'!$E$11+1,1))-AVERAGE(OFFSET($H$3,0,0,'Données projet'!$E$11+1,1))</f>
        <v>352.34406861564418</v>
      </c>
      <c r="BJ41" s="62">
        <f t="shared" si="38"/>
        <v>182.40373266220317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8.1999999999999993</v>
      </c>
      <c r="BY41" s="13">
        <f>IF('Données projet'!$A$114&gt;35,BY40+BX41-CG40,IF(A41&lt;'Données projet'!$A$114,$BV$205^A41,IF(A41='Données projet'!$A$114,'Données projet'!$B$114,BY40+BX41-CG40)))</f>
        <v>153.59999999999988</v>
      </c>
      <c r="BZ41" s="14">
        <f>BY41*VLOOKUP('Données projet'!$B$12,Paramètres!$A$1:$I$89,3,0)*VLOOKUP('Données projet'!$B$12,Paramètres!$A$1:$I$89,5,0)</f>
        <v>134.1849599999999</v>
      </c>
      <c r="CA41" s="14">
        <f t="shared" si="39"/>
        <v>34.96159027064818</v>
      </c>
      <c r="CB41" s="22">
        <f t="shared" si="10"/>
        <v>294.59690838804539</v>
      </c>
      <c r="CC41" s="62">
        <f t="shared" si="11"/>
        <v>540.78850168160409</v>
      </c>
      <c r="CD41" s="62">
        <f ca="1">AVERAGE(OFFSET($CC$3,0,0,'Données projet'!$E$12+1,1))-AVERAGE(OFFSET($H$3,0,0,'Données projet'!$E$12+1,1))</f>
        <v>325.33012514933523</v>
      </c>
      <c r="CE41" s="62">
        <f t="shared" si="40"/>
        <v>332.38915219929675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4.1229323851334314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1.5780591538648041</v>
      </c>
      <c r="CN41" s="24">
        <f t="shared" si="12"/>
        <v>5.7009915389982355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12.4</v>
      </c>
      <c r="N42" s="14">
        <f>IF('Données projet'!$A$36&gt;35,N41+M42-V41,IF(A42&lt;'Données projet'!$A$36,$K$205^A42,IF(A42='Données projet'!$A$36,'Données projet'!$B$36,N41+M42-V41)))</f>
        <v>195.60000000000002</v>
      </c>
      <c r="O42" s="14">
        <f>N42*VLOOKUP('Données projet'!$B$9,Paramètres!$A$1:$I$89,3,0)*VLOOKUP('Données projet'!$B$9,Paramètres!$A$1:$I$89,5,0)</f>
        <v>116.96880000000002</v>
      </c>
      <c r="P42" s="14">
        <f t="shared" si="33"/>
        <v>30.966972418998537</v>
      </c>
      <c r="Q42" s="22">
        <f t="shared" si="53"/>
        <v>257.6548036297558</v>
      </c>
      <c r="R42" s="62">
        <f t="shared" si="0"/>
        <v>504.66420071986295</v>
      </c>
      <c r="S42" s="62">
        <f ca="1">AVERAGE(OFFSET($R$3,0,0,'Données projet'!$E$9+1,1))-AVERAGE(OFFSET($H$3,0,0,'Données projet'!$E$9+1,1))</f>
        <v>319.74550658573207</v>
      </c>
      <c r="T42" s="62">
        <f t="shared" si="34"/>
        <v>231.35643408122294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3.1742646034466939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0.28254993183668725</v>
      </c>
      <c r="AC42" s="24">
        <f t="shared" si="3"/>
        <v>3.4568145352833812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3.8</v>
      </c>
      <c r="AI42" s="14">
        <f>IF('Données projet'!$A$62&gt;35,AI41+AH42-AQ41,IF(A42&lt;'Données projet'!$A$62,$AF$205^A42,IF(A42='Données projet'!$A$62,'Données projet'!$B$62,AI41+AH42-AQ41)))</f>
        <v>179.19999999999993</v>
      </c>
      <c r="AJ42" s="14">
        <f>AI42*VLOOKUP('Données projet'!$B$10,Paramètres!$A$1:$I$89,3,0)*VLOOKUP('Données projet'!$B$10,Paramètres!$A$1:$I$89,5,0)</f>
        <v>162.14015999999992</v>
      </c>
      <c r="AK42" s="14">
        <f t="shared" si="35"/>
        <v>41.324860537333677</v>
      </c>
      <c r="AL42" s="22">
        <f t="shared" si="4"/>
        <v>354.36824410252262</v>
      </c>
      <c r="AM42" s="62">
        <f t="shared" si="5"/>
        <v>601.37764119262977</v>
      </c>
      <c r="AN42" s="62">
        <f ca="1">AVERAGE(OFFSET($AM$3,0,0,'Données projet'!$E$10+1,1))-AVERAGE(OFFSET($H$3,0,0,'Données projet'!$E$10+1,1))</f>
        <v>254.64144953102331</v>
      </c>
      <c r="AO42" s="62">
        <f t="shared" si="36"/>
        <v>361.41009011468407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1.3543471402909253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0.18705925130581472</v>
      </c>
      <c r="AX42" s="23">
        <f t="shared" si="6"/>
        <v>1.54140639159674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87.600000000000009</v>
      </c>
      <c r="BE42" s="14">
        <f>BD42*VLOOKUP('Données projet'!$B$11,Paramètres!$A$1:$I$89,3,0)*VLOOKUP('Données projet'!$B$11,Paramètres!$A$1:$I$89,5,0)</f>
        <v>91.55952000000002</v>
      </c>
      <c r="BF42" s="14">
        <f t="shared" si="37"/>
        <v>24.94096677672054</v>
      </c>
      <c r="BG42" s="22">
        <f t="shared" si="7"/>
        <v>202.90501446945498</v>
      </c>
      <c r="BH42" s="62">
        <f t="shared" si="8"/>
        <v>449.9144115595621</v>
      </c>
      <c r="BI42" s="62">
        <f ca="1">AVERAGE(OFFSET($BH$3,0,0,'Données projet'!$E$11+1,1))-AVERAGE(OFFSET($H$3,0,0,'Données projet'!$E$11+1,1))</f>
        <v>352.34406861564418</v>
      </c>
      <c r="BJ42" s="62">
        <f t="shared" si="38"/>
        <v>182.40373266220317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8.1999999999999993</v>
      </c>
      <c r="BY42" s="13">
        <f>IF('Données projet'!$A$114&gt;35,BY41+BX42-CG41,IF(A42&lt;'Données projet'!$A$114,$BV$205^A42,IF(A42='Données projet'!$A$114,'Données projet'!$B$114,BY41+BX42-CG41)))</f>
        <v>161.79999999999987</v>
      </c>
      <c r="BZ42" s="14">
        <f>BY42*VLOOKUP('Données projet'!$B$12,Paramètres!$A$1:$I$89,3,0)*VLOOKUP('Données projet'!$B$12,Paramètres!$A$1:$I$89,5,0)</f>
        <v>141.34847999999991</v>
      </c>
      <c r="CA42" s="14">
        <f t="shared" si="39"/>
        <v>36.605750770707772</v>
      </c>
      <c r="CB42" s="22">
        <f t="shared" si="10"/>
        <v>309.93695192564923</v>
      </c>
      <c r="CC42" s="62">
        <f t="shared" si="11"/>
        <v>556.94634901575637</v>
      </c>
      <c r="CD42" s="62">
        <f ca="1">AVERAGE(OFFSET($CC$3,0,0,'Données projet'!$E$12+1,1))-AVERAGE(OFFSET($H$3,0,0,'Données projet'!$E$12+1,1))</f>
        <v>325.33012514933523</v>
      </c>
      <c r="CE42" s="62">
        <f t="shared" si="40"/>
        <v>332.38915219929675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4.0420841958014098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1.1158563288113084</v>
      </c>
      <c r="CN42" s="24">
        <f t="shared" si="12"/>
        <v>5.1579405246127177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208</v>
      </c>
      <c r="L43" s="13">
        <f>VLOOKUP(A43,'Données projet'!$A$35:$I$55,9,0)</f>
        <v>12.4</v>
      </c>
      <c r="M43" s="13">
        <f t="array" ref="M43">INDEX(L:L,MIN(IF(ISNUMBER(L43:L239),ROW(L43:L239),"")))</f>
        <v>12.4</v>
      </c>
      <c r="N43" s="14">
        <f>IF('Données projet'!$A$36&gt;35,N42+M43-V42,IF(A43&lt;'Données projet'!$A$36,$K$205^A43,IF(A43='Données projet'!$A$36,'Données projet'!$B$36,N42+M43-V42)))</f>
        <v>208.00000000000003</v>
      </c>
      <c r="O43" s="14">
        <f>N43*VLOOKUP('Données projet'!$B$9,Paramètres!$A$1:$I$89,3,0)*VLOOKUP('Données projet'!$B$9,Paramètres!$A$1:$I$89,5,0)</f>
        <v>124.38400000000003</v>
      </c>
      <c r="P43" s="14">
        <f t="shared" si="33"/>
        <v>32.695350227217695</v>
      </c>
      <c r="Q43" s="22">
        <f t="shared" si="53"/>
        <v>273.57986831240419</v>
      </c>
      <c r="R43" s="62">
        <f t="shared" si="0"/>
        <v>521.39288213152497</v>
      </c>
      <c r="S43" s="62">
        <f ca="1">AVERAGE(OFFSET($R$3,0,0,'Données projet'!$E$9+1,1))-AVERAGE(OFFSET($H$3,0,0,'Données projet'!$E$9+1,1))</f>
        <v>319.74550658573207</v>
      </c>
      <c r="T43" s="62">
        <f t="shared" si="34"/>
        <v>231.35643408122294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34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3.1120192106833375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0.19979297282551833</v>
      </c>
      <c r="AC43" s="24">
        <f t="shared" si="3"/>
        <v>3.3118121835088559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183</v>
      </c>
      <c r="AG43" s="13">
        <f>VLOOKUP(A43,'Données projet'!$A$61:$I$81,9,0)</f>
        <v>3.8</v>
      </c>
      <c r="AH43" s="13">
        <f t="array" ref="AH43">INDEX(AG:AG,MIN(IF(ISNUMBER(AG43:AG239),ROW(AG43:AG239),"")))</f>
        <v>3.8</v>
      </c>
      <c r="AI43" s="14">
        <f>IF('Données projet'!$A$62&gt;35,AI42+AH43-AQ42,IF(A43&lt;'Données projet'!$A$62,$AF$205^A43,IF(A43='Données projet'!$A$62,'Données projet'!$B$62,AI42+AH43-AQ42)))</f>
        <v>182.99999999999994</v>
      </c>
      <c r="AJ43" s="14">
        <f>AI43*VLOOKUP('Données projet'!$B$10,Paramètres!$A$1:$I$89,3,0)*VLOOKUP('Données projet'!$B$10,Paramètres!$A$1:$I$89,5,0)</f>
        <v>165.57839999999993</v>
      </c>
      <c r="AK43" s="14">
        <f t="shared" si="35"/>
        <v>42.098218509199661</v>
      </c>
      <c r="AL43" s="22">
        <f t="shared" si="4"/>
        <v>361.70344390352261</v>
      </c>
      <c r="AM43" s="62">
        <f t="shared" si="5"/>
        <v>609.51645772264339</v>
      </c>
      <c r="AN43" s="62">
        <f ca="1">AVERAGE(OFFSET($AM$3,0,0,'Données projet'!$E$10+1,1))-AVERAGE(OFFSET($H$3,0,0,'Données projet'!$E$10+1,1))</f>
        <v>254.64144953102331</v>
      </c>
      <c r="AO43" s="62">
        <f t="shared" si="36"/>
        <v>361.41009011468407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1.3277892189400082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0.13227086508202013</v>
      </c>
      <c r="AX43" s="23">
        <f t="shared" si="6"/>
        <v>1.4600600840220284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93.000000000000014</v>
      </c>
      <c r="BE43" s="14">
        <f>BD43*VLOOKUP('Données projet'!$B$11,Paramètres!$A$1:$I$89,3,0)*VLOOKUP('Données projet'!$B$11,Paramètres!$A$1:$I$89,5,0)</f>
        <v>97.203600000000023</v>
      </c>
      <c r="BF43" s="14">
        <f t="shared" si="37"/>
        <v>26.294698107005349</v>
      </c>
      <c r="BG43" s="22">
        <f t="shared" si="7"/>
        <v>215.09286920303433</v>
      </c>
      <c r="BH43" s="62">
        <f t="shared" si="8"/>
        <v>462.90588302215514</v>
      </c>
      <c r="BI43" s="62">
        <f ca="1">AVERAGE(OFFSET($BH$3,0,0,'Données projet'!$E$11+1,1))-AVERAGE(OFFSET($H$3,0,0,'Données projet'!$E$11+1,1))</f>
        <v>352.34406861564418</v>
      </c>
      <c r="BJ43" s="62">
        <f t="shared" si="38"/>
        <v>182.40373266220317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170</v>
      </c>
      <c r="BW43" s="13">
        <f>VLOOKUP(A43,'Données projet'!$A$113:$I$133,9,0)</f>
        <v>8.1999999999999993</v>
      </c>
      <c r="BX43" s="13">
        <f t="array" ref="BX43">INDEX(BW:BW,MIN(IF(ISNUMBER(BW43:BW239),ROW(BW43:BW239),"")))</f>
        <v>8.1999999999999993</v>
      </c>
      <c r="BY43" s="13">
        <f>IF('Données projet'!$A$114&gt;35,BY42+BX43-CG42,IF(A43&lt;'Données projet'!$A$114,$BV$205^A43,IF(A43='Données projet'!$A$114,'Données projet'!$B$114,BY42+BX43-CG42)))</f>
        <v>169.99999999999986</v>
      </c>
      <c r="BZ43" s="14">
        <f>BY43*VLOOKUP('Données projet'!$B$12,Paramètres!$A$1:$I$89,3,0)*VLOOKUP('Données projet'!$B$12,Paramètres!$A$1:$I$89,5,0)</f>
        <v>148.51199999999989</v>
      </c>
      <c r="CA43" s="14">
        <f t="shared" si="39"/>
        <v>38.240236326053477</v>
      </c>
      <c r="CB43" s="22">
        <f t="shared" si="10"/>
        <v>325.26014493454295</v>
      </c>
      <c r="CC43" s="62">
        <f t="shared" si="11"/>
        <v>573.07315875366373</v>
      </c>
      <c r="CD43" s="62">
        <f ca="1">AVERAGE(OFFSET($CC$3,0,0,'Données projet'!$E$12+1,1))-AVERAGE(OFFSET($H$3,0,0,'Données projet'!$E$12+1,1))</f>
        <v>325.33012514933523</v>
      </c>
      <c r="CE43" s="62">
        <f t="shared" si="40"/>
        <v>332.38915219929675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3.9628213901496627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0.78902957693240205</v>
      </c>
      <c r="CN43" s="24">
        <f t="shared" si="12"/>
        <v>4.7518509670820652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14.1</v>
      </c>
      <c r="N44" s="14">
        <f>IF('Données projet'!$A$36&gt;35,N43+M44-V43,IF(A44&lt;'Données projet'!$A$36,$K$205^A44,IF(A44='Données projet'!$A$36,'Données projet'!$B$36,N43+M44-V43)))</f>
        <v>188.10000000000002</v>
      </c>
      <c r="O44" s="14">
        <f>N44*VLOOKUP('Données projet'!$B$9,Paramètres!$A$1:$I$89,3,0)*VLOOKUP('Données projet'!$B$9,Paramètres!$A$1:$I$89,5,0)</f>
        <v>112.48380000000002</v>
      </c>
      <c r="P44" s="14">
        <f t="shared" si="33"/>
        <v>29.915424563902814</v>
      </c>
      <c r="Q44" s="22">
        <f t="shared" si="53"/>
        <v>248.01198278213079</v>
      </c>
      <c r="R44" s="62">
        <f t="shared" si="0"/>
        <v>496.61467237663476</v>
      </c>
      <c r="S44" s="62">
        <f ca="1">AVERAGE(OFFSET($R$3,0,0,'Données projet'!$E$9+1,1))-AVERAGE(OFFSET($H$3,0,0,'Données projet'!$E$9+1,1))</f>
        <v>319.74550658573207</v>
      </c>
      <c r="T44" s="62">
        <f t="shared" si="34"/>
        <v>231.35643408122294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3.0509944121061294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0.14127496591834363</v>
      </c>
      <c r="AC44" s="24">
        <f t="shared" si="3"/>
        <v>3.1922693780244731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3.8</v>
      </c>
      <c r="AI44" s="14">
        <f>IF('Données projet'!$A$62&gt;35,AI43+AH44-AQ43,IF(A44&lt;'Données projet'!$A$62,$AF$205^A44,IF(A44='Données projet'!$A$62,'Données projet'!$B$62,AI43+AH44-AQ43)))</f>
        <v>182.79999999999995</v>
      </c>
      <c r="AJ44" s="14">
        <f>AI44*VLOOKUP('Données projet'!$B$10,Paramètres!$A$1:$I$89,3,0)*VLOOKUP('Données projet'!$B$10,Paramètres!$A$1:$I$89,5,0)</f>
        <v>165.39743999999996</v>
      </c>
      <c r="AK44" s="14">
        <f t="shared" si="35"/>
        <v>42.057562385840804</v>
      </c>
      <c r="AL44" s="22">
        <f t="shared" si="4"/>
        <v>361.31746248867267</v>
      </c>
      <c r="AM44" s="62">
        <f t="shared" si="5"/>
        <v>609.92015208317662</v>
      </c>
      <c r="AN44" s="62">
        <f ca="1">AVERAGE(OFFSET($AM$3,0,0,'Données projet'!$E$10+1,1))-AVERAGE(OFFSET($H$3,0,0,'Données projet'!$E$10+1,1))</f>
        <v>254.64144953102331</v>
      </c>
      <c r="AO44" s="62">
        <f t="shared" si="36"/>
        <v>361.41009011468407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1.3017520822280502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9.3529625652907358E-2</v>
      </c>
      <c r="AX44" s="23">
        <f t="shared" si="6"/>
        <v>1.3952817078809576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84.600000000000009</v>
      </c>
      <c r="BE44" s="14">
        <f>BD44*VLOOKUP('Données projet'!$B$11,Paramètres!$A$1:$I$89,3,0)*VLOOKUP('Données projet'!$B$11,Paramètres!$A$1:$I$89,5,0)</f>
        <v>88.423920000000024</v>
      </c>
      <c r="BF44" s="14">
        <f t="shared" si="37"/>
        <v>24.184722491413467</v>
      </c>
      <c r="BG44" s="22">
        <f t="shared" si="7"/>
        <v>196.1267190058785</v>
      </c>
      <c r="BH44" s="62">
        <f t="shared" si="8"/>
        <v>444.7294086003825</v>
      </c>
      <c r="BI44" s="62">
        <f ca="1">AVERAGE(OFFSET($BH$3,0,0,'Données projet'!$E$11+1,1))-AVERAGE(OFFSET($H$3,0,0,'Données projet'!$E$11+1,1))</f>
        <v>352.34406861564418</v>
      </c>
      <c r="BJ44" s="62">
        <f t="shared" si="38"/>
        <v>182.40373266220317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7.6</v>
      </c>
      <c r="BY44" s="13">
        <f>IF('Données projet'!$A$114&gt;35,BY43+BX44-CG43,IF(A44&lt;'Données projet'!$A$114,$BV$205^A44,IF(A44='Données projet'!$A$114,'Données projet'!$B$114,BY43+BX44-CG43)))</f>
        <v>149.59999999999985</v>
      </c>
      <c r="BZ44" s="14">
        <f>BY44*VLOOKUP('Données projet'!$B$12,Paramètres!$A$1:$I$89,3,0)*VLOOKUP('Données projet'!$B$12,Paramètres!$A$1:$I$89,5,0)</f>
        <v>130.69055999999989</v>
      </c>
      <c r="CA44" s="14">
        <f t="shared" si="39"/>
        <v>34.155878238422694</v>
      </c>
      <c r="CB44" s="22">
        <f t="shared" si="10"/>
        <v>287.107546598586</v>
      </c>
      <c r="CC44" s="62">
        <f t="shared" si="11"/>
        <v>535.71023619308994</v>
      </c>
      <c r="CD44" s="62">
        <f ca="1">AVERAGE(OFFSET($CC$3,0,0,'Données projet'!$E$12+1,1))-AVERAGE(OFFSET($H$3,0,0,'Données projet'!$E$12+1,1))</f>
        <v>325.33012514933523</v>
      </c>
      <c r="CE44" s="62">
        <f t="shared" si="40"/>
        <v>332.38915219929675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3.8851128797712087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0.55792816440565418</v>
      </c>
      <c r="CN44" s="24">
        <f t="shared" si="12"/>
        <v>4.4430410441768631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14.1</v>
      </c>
      <c r="N45" s="14">
        <f>IF('Données projet'!$A$36&gt;35,N44+M45-V44,IF(A45&lt;'Données projet'!$A$36,$K$205^A45,IF(A45='Données projet'!$A$36,'Données projet'!$B$36,N44+M45-V44)))</f>
        <v>202.20000000000002</v>
      </c>
      <c r="O45" s="14">
        <f>N45*VLOOKUP('Données projet'!$B$9,Paramètres!$A$1:$I$89,3,0)*VLOOKUP('Données projet'!$B$9,Paramètres!$A$1:$I$89,5,0)</f>
        <v>120.91560000000003</v>
      </c>
      <c r="P45" s="14">
        <f t="shared" si="33"/>
        <v>31.888453396738488</v>
      </c>
      <c r="Q45" s="22">
        <f t="shared" si="53"/>
        <v>266.13372633265288</v>
      </c>
      <c r="R45" s="62">
        <f t="shared" si="0"/>
        <v>515.51239259328759</v>
      </c>
      <c r="S45" s="62">
        <f ca="1">AVERAGE(OFFSET($R$3,0,0,'Données projet'!$E$9+1,1))-AVERAGE(OFFSET($H$3,0,0,'Données projet'!$E$9+1,1))</f>
        <v>319.74550658573207</v>
      </c>
      <c r="T45" s="62">
        <f t="shared" si="34"/>
        <v>231.35643408122294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2.9911662726075687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9.9896486412759167E-2</v>
      </c>
      <c r="AC45" s="24">
        <f t="shared" si="3"/>
        <v>3.0910627590203279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3.8</v>
      </c>
      <c r="AI45" s="14">
        <f>IF('Données projet'!$A$62&gt;35,AI44+AH45-AQ44,IF(A45&lt;'Données projet'!$A$62,$AF$205^A45,IF(A45='Données projet'!$A$62,'Données projet'!$B$62,AI44+AH45-AQ44)))</f>
        <v>186.59999999999997</v>
      </c>
      <c r="AJ45" s="14">
        <f>AI45*VLOOKUP('Données projet'!$B$10,Paramètres!$A$1:$I$89,3,0)*VLOOKUP('Données projet'!$B$10,Paramètres!$A$1:$I$89,5,0)</f>
        <v>168.83567999999994</v>
      </c>
      <c r="AK45" s="14">
        <f t="shared" si="35"/>
        <v>42.829150426593394</v>
      </c>
      <c r="AL45" s="22">
        <f t="shared" si="4"/>
        <v>368.64957965965004</v>
      </c>
      <c r="AM45" s="62">
        <f t="shared" si="5"/>
        <v>618.0282459202848</v>
      </c>
      <c r="AN45" s="62">
        <f ca="1">AVERAGE(OFFSET($AM$3,0,0,'Données projet'!$E$10+1,1))-AVERAGE(OFFSET($H$3,0,0,'Données projet'!$E$10+1,1))</f>
        <v>254.64144953102331</v>
      </c>
      <c r="AO45" s="62">
        <f t="shared" si="36"/>
        <v>361.41009011468407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1.2762255178859283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6.6135432541010064E-2</v>
      </c>
      <c r="AX45" s="23">
        <f t="shared" si="6"/>
        <v>1.3423609504269383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90.2</v>
      </c>
      <c r="BE45" s="14">
        <f>BD45*VLOOKUP('Données projet'!$B$11,Paramètres!$A$1:$I$89,3,0)*VLOOKUP('Données projet'!$B$11,Paramètres!$A$1:$I$89,5,0)</f>
        <v>94.277040000000014</v>
      </c>
      <c r="BF45" s="14">
        <f t="shared" si="37"/>
        <v>25.593940278103194</v>
      </c>
      <c r="BG45" s="22">
        <f t="shared" si="7"/>
        <v>208.77529065102974</v>
      </c>
      <c r="BH45" s="62">
        <f t="shared" si="8"/>
        <v>458.15395691166447</v>
      </c>
      <c r="BI45" s="62">
        <f ca="1">AVERAGE(OFFSET($BH$3,0,0,'Données projet'!$E$11+1,1))-AVERAGE(OFFSET($H$3,0,0,'Données projet'!$E$11+1,1))</f>
        <v>352.34406861564418</v>
      </c>
      <c r="BJ45" s="62">
        <f t="shared" si="38"/>
        <v>182.40373266220317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7.6</v>
      </c>
      <c r="BY45" s="13">
        <f>IF('Données projet'!$A$114&gt;35,BY44+BX45-CG44,IF(A45&lt;'Données projet'!$A$114,$BV$205^A45,IF(A45='Données projet'!$A$114,'Données projet'!$B$114,BY44+BX45-CG44)))</f>
        <v>157.19999999999985</v>
      </c>
      <c r="BZ45" s="14">
        <f>BY45*VLOOKUP('Données projet'!$B$12,Paramètres!$A$1:$I$89,3,0)*VLOOKUP('Données projet'!$B$12,Paramètres!$A$1:$I$89,5,0)</f>
        <v>137.3299199999999</v>
      </c>
      <c r="CA45" s="14">
        <f t="shared" si="39"/>
        <v>35.684643836992151</v>
      </c>
      <c r="CB45" s="22">
        <f t="shared" si="10"/>
        <v>301.33369868276117</v>
      </c>
      <c r="CC45" s="62">
        <f t="shared" si="11"/>
        <v>550.71236494339587</v>
      </c>
      <c r="CD45" s="62">
        <f ca="1">AVERAGE(OFFSET($CC$3,0,0,'Données projet'!$E$12+1,1))-AVERAGE(OFFSET($H$3,0,0,'Données projet'!$E$12+1,1))</f>
        <v>325.33012514933523</v>
      </c>
      <c r="CE45" s="62">
        <f t="shared" si="40"/>
        <v>332.38915219929675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3.8089281858837651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0.39451478846620103</v>
      </c>
      <c r="CN45" s="24">
        <f t="shared" si="12"/>
        <v>4.2034429743499659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14.1</v>
      </c>
      <c r="N46" s="14">
        <f>IF('Données projet'!$A$36&gt;35,N45+M46-V45,IF(A46&lt;'Données projet'!$A$36,$K$205^A46,IF(A46='Données projet'!$A$36,'Données projet'!$B$36,N45+M46-V45)))</f>
        <v>216.3</v>
      </c>
      <c r="O46" s="14">
        <f>N46*VLOOKUP('Données projet'!$B$9,Paramètres!$A$1:$I$89,3,0)*VLOOKUP('Données projet'!$B$9,Paramètres!$A$1:$I$89,5,0)</f>
        <v>129.34740000000002</v>
      </c>
      <c r="P46" s="14">
        <f t="shared" si="33"/>
        <v>33.845518493267228</v>
      </c>
      <c r="Q46" s="22">
        <f t="shared" si="53"/>
        <v>284.22766637577377</v>
      </c>
      <c r="R46" s="62">
        <f t="shared" si="0"/>
        <v>534.36884784220581</v>
      </c>
      <c r="S46" s="62">
        <f ca="1">AVERAGE(OFFSET($R$3,0,0,'Données projet'!$E$9+1,1))-AVERAGE(OFFSET($H$3,0,0,'Données projet'!$E$9+1,1))</f>
        <v>319.74550658573207</v>
      </c>
      <c r="T46" s="62">
        <f t="shared" si="34"/>
        <v>231.35643408122294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2.9325113264330129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7.0637482959171813E-2</v>
      </c>
      <c r="AC46" s="24">
        <f t="shared" si="3"/>
        <v>3.0031488093921848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3.8</v>
      </c>
      <c r="AI46" s="14">
        <f>IF('Données projet'!$A$62&gt;35,AI45+AH46-AQ45,IF(A46&lt;'Données projet'!$A$62,$AF$205^A46,IF(A46='Données projet'!$A$62,'Données projet'!$B$62,AI45+AH46-AQ45)))</f>
        <v>190.39999999999998</v>
      </c>
      <c r="AJ46" s="14">
        <f>AI46*VLOOKUP('Données projet'!$B$10,Paramètres!$A$1:$I$89,3,0)*VLOOKUP('Données projet'!$B$10,Paramètres!$A$1:$I$89,5,0)</f>
        <v>172.27391999999998</v>
      </c>
      <c r="AK46" s="14">
        <f t="shared" si="35"/>
        <v>43.598911513699605</v>
      </c>
      <c r="AL46" s="22">
        <f t="shared" si="4"/>
        <v>375.97851488636002</v>
      </c>
      <c r="AM46" s="62">
        <f t="shared" si="5"/>
        <v>626.11969635279206</v>
      </c>
      <c r="AN46" s="62">
        <f ca="1">AVERAGE(OFFSET($AM$3,0,0,'Données projet'!$E$10+1,1))-AVERAGE(OFFSET($H$3,0,0,'Données projet'!$E$10+1,1))</f>
        <v>254.64144953102331</v>
      </c>
      <c r="AO46" s="62">
        <f t="shared" si="36"/>
        <v>361.41009011468407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1.2511995139008885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4.6764812826453679E-2</v>
      </c>
      <c r="AX46" s="23">
        <f t="shared" si="6"/>
        <v>1.2979643267273422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95.8</v>
      </c>
      <c r="BE46" s="14">
        <f>BD46*VLOOKUP('Données projet'!$B$11,Paramètres!$A$1:$I$89,3,0)*VLOOKUP('Données projet'!$B$11,Paramètres!$A$1:$I$89,5,0)</f>
        <v>100.13016000000002</v>
      </c>
      <c r="BF46" s="14">
        <f t="shared" si="37"/>
        <v>26.99300402561024</v>
      </c>
      <c r="BG46" s="22">
        <f t="shared" si="7"/>
        <v>221.40617734460454</v>
      </c>
      <c r="BH46" s="62">
        <f t="shared" si="8"/>
        <v>471.54735881103659</v>
      </c>
      <c r="BI46" s="62">
        <f ca="1">AVERAGE(OFFSET($BH$3,0,0,'Données projet'!$E$11+1,1))-AVERAGE(OFFSET($H$3,0,0,'Données projet'!$E$11+1,1))</f>
        <v>352.34406861564418</v>
      </c>
      <c r="BJ46" s="62">
        <f t="shared" si="38"/>
        <v>182.40373266220317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7.6</v>
      </c>
      <c r="BY46" s="13">
        <f>IF('Données projet'!$A$114&gt;35,BY45+BX46-CG45,IF(A46&lt;'Données projet'!$A$114,$BV$205^A46,IF(A46='Données projet'!$A$114,'Données projet'!$B$114,BY45+BX46-CG45)))</f>
        <v>164.79999999999984</v>
      </c>
      <c r="BZ46" s="14">
        <f>BY46*VLOOKUP('Données projet'!$B$12,Paramètres!$A$1:$I$89,3,0)*VLOOKUP('Données projet'!$B$12,Paramètres!$A$1:$I$89,5,0)</f>
        <v>143.96927999999988</v>
      </c>
      <c r="CA46" s="14">
        <f t="shared" si="39"/>
        <v>37.204826967876741</v>
      </c>
      <c r="CB46" s="22">
        <f t="shared" si="10"/>
        <v>315.5449029690518</v>
      </c>
      <c r="CC46" s="62">
        <f t="shared" si="11"/>
        <v>565.68608443548385</v>
      </c>
      <c r="CD46" s="62">
        <f ca="1">AVERAGE(OFFSET($CC$3,0,0,'Données projet'!$E$12+1,1))-AVERAGE(OFFSET($H$3,0,0,'Données projet'!$E$12+1,1))</f>
        <v>325.33012514933523</v>
      </c>
      <c r="CE46" s="62">
        <f t="shared" si="40"/>
        <v>332.38915219929675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3.7342374273753793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0.27896408220282709</v>
      </c>
      <c r="CN46" s="24">
        <f t="shared" si="12"/>
        <v>4.0132015095782068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14.1</v>
      </c>
      <c r="N47" s="14">
        <f>IF('Données projet'!$A$36&gt;35,N46+M47-V46,IF(A47&lt;'Données projet'!$A$36,$K$205^A47,IF(A47='Données projet'!$A$36,'Données projet'!$B$36,N46+M47-V46)))</f>
        <v>230.4</v>
      </c>
      <c r="O47" s="14">
        <f>N47*VLOOKUP('Données projet'!$B$9,Paramètres!$A$1:$I$89,3,0)*VLOOKUP('Données projet'!$B$9,Paramètres!$A$1:$I$89,5,0)</f>
        <v>137.7792</v>
      </c>
      <c r="P47" s="14">
        <f t="shared" si="33"/>
        <v>35.787778913287674</v>
      </c>
      <c r="Q47" s="22">
        <f t="shared" si="53"/>
        <v>302.29582160730934</v>
      </c>
      <c r="R47" s="62">
        <f t="shared" si="0"/>
        <v>553.18629034544676</v>
      </c>
      <c r="S47" s="62">
        <f ca="1">AVERAGE(OFFSET($R$3,0,0,'Données projet'!$E$9+1,1))-AVERAGE(OFFSET($H$3,0,0,'Données projet'!$E$9+1,1))</f>
        <v>319.74550658573207</v>
      </c>
      <c r="T47" s="62">
        <f t="shared" si="34"/>
        <v>231.35643408122294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2.8750065679769556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4.9948243206379583E-2</v>
      </c>
      <c r="AC47" s="24">
        <f t="shared" si="3"/>
        <v>2.9249548111833352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3.8</v>
      </c>
      <c r="AI47" s="14">
        <f>IF('Données projet'!$A$62&gt;35,AI46+AH47-AQ46,IF(A47&lt;'Données projet'!$A$62,$AF$205^A47,IF(A47='Données projet'!$A$62,'Données projet'!$B$62,AI46+AH47-AQ46)))</f>
        <v>194.2</v>
      </c>
      <c r="AJ47" s="14">
        <f>AI47*VLOOKUP('Données projet'!$B$10,Paramètres!$A$1:$I$89,3,0)*VLOOKUP('Données projet'!$B$10,Paramètres!$A$1:$I$89,5,0)</f>
        <v>175.71215999999998</v>
      </c>
      <c r="AK47" s="14">
        <f t="shared" si="35"/>
        <v>44.366886311884528</v>
      </c>
      <c r="AL47" s="22">
        <f t="shared" si="4"/>
        <v>383.30433899319883</v>
      </c>
      <c r="AM47" s="62">
        <f t="shared" si="5"/>
        <v>634.19480773133625</v>
      </c>
      <c r="AN47" s="62">
        <f ca="1">AVERAGE(OFFSET($AM$3,0,0,'Données projet'!$E$10+1,1))-AVERAGE(OFFSET($H$3,0,0,'Données projet'!$E$10+1,1))</f>
        <v>254.64144953102331</v>
      </c>
      <c r="AO47" s="62">
        <f t="shared" si="36"/>
        <v>361.41009011468407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1.22666425458964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3.3067716270505032E-2</v>
      </c>
      <c r="AX47" s="23">
        <f t="shared" si="6"/>
        <v>1.2597319708601451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101.39999999999999</v>
      </c>
      <c r="BE47" s="14">
        <f>BD47*VLOOKUP('Données projet'!$B$11,Paramètres!$A$1:$I$89,3,0)*VLOOKUP('Données projet'!$B$11,Paramètres!$A$1:$I$89,5,0)</f>
        <v>105.98328000000001</v>
      </c>
      <c r="BF47" s="14">
        <f t="shared" si="37"/>
        <v>28.382574904673611</v>
      </c>
      <c r="BG47" s="22">
        <f t="shared" si="7"/>
        <v>234.02053062563991</v>
      </c>
      <c r="BH47" s="62">
        <f t="shared" si="8"/>
        <v>484.91099936377736</v>
      </c>
      <c r="BI47" s="62">
        <f ca="1">AVERAGE(OFFSET($BH$3,0,0,'Données projet'!$E$11+1,1))-AVERAGE(OFFSET($H$3,0,0,'Données projet'!$E$11+1,1))</f>
        <v>352.34406861564418</v>
      </c>
      <c r="BJ47" s="62">
        <f t="shared" si="38"/>
        <v>182.40373266220317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7.6</v>
      </c>
      <c r="BY47" s="13">
        <f>IF('Données projet'!$A$114&gt;35,BY46+BX47-CG46,IF(A47&lt;'Données projet'!$A$114,$BV$205^A47,IF(A47='Données projet'!$A$114,'Données projet'!$B$114,BY46+BX47-CG46)))</f>
        <v>172.39999999999984</v>
      </c>
      <c r="BZ47" s="14">
        <f>BY47*VLOOKUP('Données projet'!$B$12,Paramètres!$A$1:$I$89,3,0)*VLOOKUP('Données projet'!$B$12,Paramètres!$A$1:$I$89,5,0)</f>
        <v>150.60863999999987</v>
      </c>
      <c r="CA47" s="14">
        <f t="shared" si="39"/>
        <v>38.716868630535259</v>
      </c>
      <c r="CB47" s="22">
        <f t="shared" si="10"/>
        <v>329.74192753151533</v>
      </c>
      <c r="CC47" s="62">
        <f t="shared" si="11"/>
        <v>580.63239626965276</v>
      </c>
      <c r="CD47" s="62">
        <f ca="1">AVERAGE(OFFSET($CC$3,0,0,'Données projet'!$E$12+1,1))-AVERAGE(OFFSET($H$3,0,0,'Données projet'!$E$12+1,1))</f>
        <v>325.33012514933523</v>
      </c>
      <c r="CE47" s="62">
        <f t="shared" si="40"/>
        <v>332.38915219929675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3.6610113090844787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0.19725739423310051</v>
      </c>
      <c r="CN47" s="24">
        <f t="shared" si="12"/>
        <v>3.8582687033175791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14.1</v>
      </c>
      <c r="N48" s="14">
        <f>IF('Données projet'!$A$36&gt;35,N47+M48-V47,IF(A48&lt;'Données projet'!$A$36,$K$205^A48,IF(A48='Données projet'!$A$36,'Données projet'!$B$36,N47+M48-V47)))</f>
        <v>244.5</v>
      </c>
      <c r="O48" s="14">
        <f>N48*VLOOKUP('Données projet'!$B$9,Paramètres!$A$1:$I$89,3,0)*VLOOKUP('Données projet'!$B$9,Paramètres!$A$1:$I$89,5,0)</f>
        <v>146.21100000000001</v>
      </c>
      <c r="P48" s="14">
        <f t="shared" si="33"/>
        <v>37.71624383608448</v>
      </c>
      <c r="Q48" s="22">
        <f t="shared" si="53"/>
        <v>320.33994968118049</v>
      </c>
      <c r="R48" s="62">
        <f t="shared" si="0"/>
        <v>571.96670723201464</v>
      </c>
      <c r="S48" s="62">
        <f ca="1">AVERAGE(OFFSET($R$3,0,0,'Données projet'!$E$9+1,1))-AVERAGE(OFFSET($H$3,0,0,'Données projet'!$E$9+1,1))</f>
        <v>319.74550658573207</v>
      </c>
      <c r="T48" s="62">
        <f t="shared" si="34"/>
        <v>231.35643408122294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2.8186294427597822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3.5318741479585906E-2</v>
      </c>
      <c r="AC48" s="24">
        <f t="shared" si="3"/>
        <v>2.8539481842393681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198</v>
      </c>
      <c r="AG48" s="13">
        <f>VLOOKUP(A48,'Données projet'!$A$61:$I$81,9,0)</f>
        <v>3.8</v>
      </c>
      <c r="AH48" s="13">
        <f t="array" ref="AH48">INDEX(AG:AG,MIN(IF(ISNUMBER(AG48:AG244),ROW(AG48:AG244),"")))</f>
        <v>3.8</v>
      </c>
      <c r="AI48" s="14">
        <f>IF('Données projet'!$A$62&gt;35,AI47+AH48-AQ47,IF(A48&lt;'Données projet'!$A$62,$AF$205^A48,IF(A48='Données projet'!$A$62,'Données projet'!$B$62,AI47+AH48-AQ47)))</f>
        <v>198</v>
      </c>
      <c r="AJ48" s="14">
        <f>AI48*VLOOKUP('Données projet'!$B$10,Paramètres!$A$1:$I$89,3,0)*VLOOKUP('Données projet'!$B$10,Paramètres!$A$1:$I$89,5,0)</f>
        <v>179.15039999999999</v>
      </c>
      <c r="AK48" s="14">
        <f t="shared" si="35"/>
        <v>45.133113803437304</v>
      </c>
      <c r="AL48" s="22">
        <f t="shared" si="4"/>
        <v>390.62711987431993</v>
      </c>
      <c r="AM48" s="62">
        <f t="shared" si="5"/>
        <v>642.25387742515409</v>
      </c>
      <c r="AN48" s="62">
        <f ca="1">AVERAGE(OFFSET($AM$3,0,0,'Données projet'!$E$10+1,1))-AVERAGE(OFFSET($H$3,0,0,'Données projet'!$E$10+1,1))</f>
        <v>254.64144953102331</v>
      </c>
      <c r="AO48" s="62">
        <f t="shared" si="36"/>
        <v>361.41009011468407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198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1.2026101167484546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2.338240641322684E-2</v>
      </c>
      <c r="AX48" s="23">
        <f t="shared" si="6"/>
        <v>1.2259925231616815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107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106.99999999999999</v>
      </c>
      <c r="BE48" s="14">
        <f>BD48*VLOOKUP('Données projet'!$B$11,Paramètres!$A$1:$I$89,3,0)*VLOOKUP('Données projet'!$B$11,Paramètres!$A$1:$I$89,5,0)</f>
        <v>111.8364</v>
      </c>
      <c r="BF48" s="14">
        <f t="shared" si="37"/>
        <v>29.763236932758819</v>
      </c>
      <c r="BG48" s="22">
        <f t="shared" si="7"/>
        <v>246.61936765788826</v>
      </c>
      <c r="BH48" s="62">
        <f t="shared" si="8"/>
        <v>498.24612520872239</v>
      </c>
      <c r="BI48" s="62">
        <f ca="1">AVERAGE(OFFSET($BH$3,0,0,'Données projet'!$E$11+1,1))-AVERAGE(OFFSET($H$3,0,0,'Données projet'!$E$11+1,1))</f>
        <v>352.34406861564418</v>
      </c>
      <c r="BJ48" s="62">
        <f t="shared" si="38"/>
        <v>182.40373266220317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180</v>
      </c>
      <c r="BW48" s="13">
        <f>VLOOKUP(A48,'Données projet'!$A$113:$I$133,9,0)</f>
        <v>7.6</v>
      </c>
      <c r="BX48" s="13">
        <f t="array" ref="BX48">INDEX(BW:BW,MIN(IF(ISNUMBER(BW48:BW244),ROW(BW48:BW244),"")))</f>
        <v>7.6</v>
      </c>
      <c r="BY48" s="13">
        <f>IF('Données projet'!$A$114&gt;35,BY47+BX48-CG47,IF(A48&lt;'Données projet'!$A$114,$BV$205^A48,IF(A48='Données projet'!$A$114,'Données projet'!$B$114,BY47+BX48-CG47)))</f>
        <v>179.99999999999983</v>
      </c>
      <c r="BZ48" s="14">
        <f>BY48*VLOOKUP('Données projet'!$B$12,Paramètres!$A$1:$I$89,3,0)*VLOOKUP('Données projet'!$B$12,Paramètres!$A$1:$I$89,5,0)</f>
        <v>157.24799999999988</v>
      </c>
      <c r="CA48" s="14">
        <f t="shared" si="39"/>
        <v>40.22116874434861</v>
      </c>
      <c r="CB48" s="22">
        <f t="shared" si="10"/>
        <v>343.92546889640693</v>
      </c>
      <c r="CC48" s="62">
        <f t="shared" si="11"/>
        <v>595.55222644724108</v>
      </c>
      <c r="CD48" s="62">
        <f ca="1">AVERAGE(OFFSET($CC$3,0,0,'Données projet'!$E$12+1,1))-AVERAGE(OFFSET($H$3,0,0,'Données projet'!$E$12+1,1))</f>
        <v>325.33012514933523</v>
      </c>
      <c r="CE48" s="62">
        <f t="shared" si="40"/>
        <v>332.38915219929675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3.5892211103097407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0.13948204110141355</v>
      </c>
      <c r="CN48" s="24">
        <f t="shared" si="12"/>
        <v>3.7287031514111542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14.1</v>
      </c>
      <c r="N49" s="14">
        <f>IF('Données projet'!$A$36&gt;35,N48+M49-V48,IF(A49&lt;'Données projet'!$A$36,$K$205^A49,IF(A49='Données projet'!$A$36,'Données projet'!$B$36,N48+M49-V48)))</f>
        <v>258.60000000000002</v>
      </c>
      <c r="O49" s="14">
        <f>N49*VLOOKUP('Données projet'!$B$9,Paramètres!$A$1:$I$89,3,0)*VLOOKUP('Données projet'!$B$9,Paramètres!$A$1:$I$89,5,0)</f>
        <v>154.64280000000002</v>
      </c>
      <c r="P49" s="14">
        <f t="shared" si="33"/>
        <v>39.631799470164985</v>
      </c>
      <c r="Q49" s="22">
        <f t="shared" si="53"/>
        <v>338.36159407720407</v>
      </c>
      <c r="R49" s="62">
        <f t="shared" si="0"/>
        <v>590.71186747592969</v>
      </c>
      <c r="S49" s="62">
        <f ca="1">AVERAGE(OFFSET($R$3,0,0,'Données projet'!$E$9+1,1))-AVERAGE(OFFSET($H$3,0,0,'Données projet'!$E$9+1,1))</f>
        <v>319.74550658573207</v>
      </c>
      <c r="T49" s="62">
        <f t="shared" si="34"/>
        <v>231.35643408122294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2.7633578385814666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2.4974121603189792E-2</v>
      </c>
      <c r="AC49" s="24">
        <f t="shared" si="3"/>
        <v>2.7883319601846566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254.64144953102331</v>
      </c>
      <c r="AO49" s="62">
        <f t="shared" si="36"/>
        <v>361.41009011468407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1.1790276658787595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1.6533858135252516E-2</v>
      </c>
      <c r="AX49" s="23">
        <f t="shared" si="6"/>
        <v>1.1955615240140121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98.59999999999998</v>
      </c>
      <c r="BE49" s="14">
        <f>BD49*VLOOKUP('Données projet'!$B$11,Paramètres!$A$1:$I$89,3,0)*VLOOKUP('Données projet'!$B$11,Paramètres!$A$1:$I$89,5,0)</f>
        <v>103.05672</v>
      </c>
      <c r="BF49" s="14">
        <f t="shared" si="37"/>
        <v>27.688937926000623</v>
      </c>
      <c r="BG49" s="22">
        <f t="shared" si="7"/>
        <v>227.71535422111776</v>
      </c>
      <c r="BH49" s="62">
        <f t="shared" si="8"/>
        <v>480.06562761984344</v>
      </c>
      <c r="BI49" s="62">
        <f ca="1">AVERAGE(OFFSET($BH$3,0,0,'Données projet'!$E$11+1,1))-AVERAGE(OFFSET($H$3,0,0,'Données projet'!$E$11+1,1))</f>
        <v>352.34406861564418</v>
      </c>
      <c r="BJ49" s="62">
        <f t="shared" si="38"/>
        <v>182.40373266220317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6.6</v>
      </c>
      <c r="BY49" s="13">
        <f>IF('Données projet'!$A$114&gt;35,BY48+BX49-CG48,IF(A49&lt;'Données projet'!$A$114,$BV$205^A49,IF(A49='Données projet'!$A$114,'Données projet'!$B$114,BY48+BX49-CG48)))</f>
        <v>160.59999999999982</v>
      </c>
      <c r="BZ49" s="14">
        <f>BY49*VLOOKUP('Données projet'!$B$12,Paramètres!$A$1:$I$89,3,0)*VLOOKUP('Données projet'!$B$12,Paramètres!$A$1:$I$89,5,0)</f>
        <v>140.30015999999986</v>
      </c>
      <c r="CA49" s="14">
        <f t="shared" si="39"/>
        <v>36.36575936262836</v>
      </c>
      <c r="CB49" s="22">
        <f t="shared" si="10"/>
        <v>307.6931428899108</v>
      </c>
      <c r="CC49" s="62">
        <f t="shared" si="11"/>
        <v>560.04341628863642</v>
      </c>
      <c r="CD49" s="62">
        <f ca="1">AVERAGE(OFFSET($CC$3,0,0,'Données projet'!$E$12+1,1))-AVERAGE(OFFSET($H$3,0,0,'Données projet'!$E$12+1,1))</f>
        <v>325.33012514933523</v>
      </c>
      <c r="CE49" s="62">
        <f t="shared" si="40"/>
        <v>332.38915219929675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3.5188386735452775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9.8628697116550257E-2</v>
      </c>
      <c r="CN49" s="24">
        <f t="shared" si="12"/>
        <v>3.6174673706618279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14.1</v>
      </c>
      <c r="N50" s="14">
        <f>IF('Données projet'!$A$36&gt;35,N49+M50-V49,IF(A50&lt;'Données projet'!$A$36,$K$205^A50,IF(A50='Données projet'!$A$36,'Données projet'!$B$36,N49+M50-V49)))</f>
        <v>272.70000000000005</v>
      </c>
      <c r="O50" s="14">
        <f>N50*VLOOKUP('Données projet'!$B$9,Paramètres!$A$1:$I$89,3,0)*VLOOKUP('Données projet'!$B$9,Paramètres!$A$1:$I$89,5,0)</f>
        <v>163.07460000000003</v>
      </c>
      <c r="P50" s="14">
        <f t="shared" si="33"/>
        <v>41.535229926099966</v>
      </c>
      <c r="Q50" s="22">
        <f t="shared" si="53"/>
        <v>356.36212045462412</v>
      </c>
      <c r="R50" s="62">
        <f t="shared" si="0"/>
        <v>609.42335831881951</v>
      </c>
      <c r="S50" s="62">
        <f ca="1">AVERAGE(OFFSET($R$3,0,0,'Données projet'!$E$9+1,1))-AVERAGE(OFFSET($H$3,0,0,'Données projet'!$E$9+1,1))</f>
        <v>319.74550658573207</v>
      </c>
      <c r="T50" s="62">
        <f t="shared" si="34"/>
        <v>231.35643408122294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2.7091700768487379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1.7659370739792953E-2</v>
      </c>
      <c r="AC50" s="24">
        <f t="shared" si="3"/>
        <v>2.7268294475885306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254.64144953102331</v>
      </c>
      <c r="AO50" s="62">
        <f t="shared" si="36"/>
        <v>361.41009011468407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1.1559076524867444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1.169120320661342E-2</v>
      </c>
      <c r="AX50" s="23">
        <f t="shared" si="6"/>
        <v>1.1675988556933579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104.19999999999997</v>
      </c>
      <c r="BE50" s="14">
        <f>BD50*VLOOKUP('Données projet'!$B$11,Paramètres!$A$1:$I$89,3,0)*VLOOKUP('Données projet'!$B$11,Paramètres!$A$1:$I$89,5,0)</f>
        <v>108.90983999999999</v>
      </c>
      <c r="BF50" s="14">
        <f t="shared" si="37"/>
        <v>29.073985674771674</v>
      </c>
      <c r="BG50" s="22">
        <f t="shared" si="7"/>
        <v>240.32182971689394</v>
      </c>
      <c r="BH50" s="62">
        <f t="shared" si="8"/>
        <v>493.38306758108934</v>
      </c>
      <c r="BI50" s="62">
        <f ca="1">AVERAGE(OFFSET($BH$3,0,0,'Données projet'!$E$11+1,1))-AVERAGE(OFFSET($H$3,0,0,'Données projet'!$E$11+1,1))</f>
        <v>352.34406861564418</v>
      </c>
      <c r="BJ50" s="62">
        <f t="shared" si="38"/>
        <v>182.40373266220317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6.6</v>
      </c>
      <c r="BY50" s="13">
        <f>IF('Données projet'!$A$114&gt;35,BY49+BX50-CG49,IF(A50&lt;'Données projet'!$A$114,$BV$205^A50,IF(A50='Données projet'!$A$114,'Données projet'!$B$114,BY49+BX50-CG49)))</f>
        <v>167.19999999999982</v>
      </c>
      <c r="BZ50" s="14">
        <f>BY50*VLOOKUP('Données projet'!$B$12,Paramètres!$A$1:$I$89,3,0)*VLOOKUP('Données projet'!$B$12,Paramètres!$A$1:$I$89,5,0)</f>
        <v>146.06591999999986</v>
      </c>
      <c r="CA50" s="14">
        <f t="shared" si="39"/>
        <v>37.683173643014364</v>
      </c>
      <c r="CB50" s="22">
        <f t="shared" si="10"/>
        <v>320.02967142824974</v>
      </c>
      <c r="CC50" s="62">
        <f t="shared" si="11"/>
        <v>573.09090929244508</v>
      </c>
      <c r="CD50" s="62">
        <f ca="1">AVERAGE(OFFSET($CC$3,0,0,'Données projet'!$E$12+1,1))-AVERAGE(OFFSET($H$3,0,0,'Données projet'!$E$12+1,1))</f>
        <v>325.33012514933523</v>
      </c>
      <c r="CE50" s="62">
        <f t="shared" si="40"/>
        <v>332.38915219929675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3.4498363934367178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6.9741020550706773E-2</v>
      </c>
      <c r="CN50" s="24">
        <f t="shared" si="12"/>
        <v>3.5195774139874247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14.1</v>
      </c>
      <c r="N51" s="14">
        <f>IF('Données projet'!$A$36&gt;35,N50+M51-V50,IF(A51&lt;'Données projet'!$A$36,$K$205^A51,IF(A51='Données projet'!$A$36,'Données projet'!$B$36,N50+M51-V50)))</f>
        <v>286.80000000000007</v>
      </c>
      <c r="O51" s="14">
        <f>N51*VLOOKUP('Données projet'!$B$9,Paramètres!$A$1:$I$89,3,0)*VLOOKUP('Données projet'!$B$9,Paramètres!$A$1:$I$89,5,0)</f>
        <v>171.50640000000004</v>
      </c>
      <c r="P51" s="14">
        <f t="shared" si="33"/>
        <v>43.427233649451665</v>
      </c>
      <c r="Q51" s="22">
        <f t="shared" si="53"/>
        <v>374.34274527279507</v>
      </c>
      <c r="R51" s="62">
        <f t="shared" si="0"/>
        <v>628.10261395846283</v>
      </c>
      <c r="S51" s="62">
        <f ca="1">AVERAGE(OFFSET($R$3,0,0,'Données projet'!$E$9+1,1))-AVERAGE(OFFSET($H$3,0,0,'Données projet'!$E$9+1,1))</f>
        <v>319.74550658573207</v>
      </c>
      <c r="T51" s="62">
        <f t="shared" si="34"/>
        <v>231.35643408122294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2.6560449040723171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1.2487060801594896E-2</v>
      </c>
      <c r="AC51" s="24">
        <f t="shared" si="3"/>
        <v>2.6685319648739121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254.64144953102331</v>
      </c>
      <c r="AO51" s="62">
        <f t="shared" si="36"/>
        <v>361.41009011468407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1.1332410084555311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8.266929067626258E-3</v>
      </c>
      <c r="AX51" s="23">
        <f t="shared" si="6"/>
        <v>1.1415079375231574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109.79999999999997</v>
      </c>
      <c r="BE51" s="14">
        <f>BD51*VLOOKUP('Données projet'!$B$11,Paramètres!$A$1:$I$89,3,0)*VLOOKUP('Données projet'!$B$11,Paramètres!$A$1:$I$89,5,0)</f>
        <v>114.76295999999999</v>
      </c>
      <c r="BF51" s="14">
        <f t="shared" si="37"/>
        <v>30.450391685635733</v>
      </c>
      <c r="BG51" s="22">
        <f t="shared" si="7"/>
        <v>252.91325418581553</v>
      </c>
      <c r="BH51" s="62">
        <f t="shared" si="8"/>
        <v>506.6731228714832</v>
      </c>
      <c r="BI51" s="62">
        <f ca="1">AVERAGE(OFFSET($BH$3,0,0,'Données projet'!$E$11+1,1))-AVERAGE(OFFSET($H$3,0,0,'Données projet'!$E$11+1,1))</f>
        <v>352.34406861564418</v>
      </c>
      <c r="BJ51" s="62">
        <f t="shared" si="38"/>
        <v>182.40373266220317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6.6</v>
      </c>
      <c r="BY51" s="13">
        <f>IF('Données projet'!$A$114&gt;35,BY50+BX51-CG50,IF(A51&lt;'Données projet'!$A$114,$BV$205^A51,IF(A51='Données projet'!$A$114,'Données projet'!$B$114,BY50+BX51-CG50)))</f>
        <v>173.79999999999981</v>
      </c>
      <c r="BZ51" s="14">
        <f>BY51*VLOOKUP('Données projet'!$B$12,Paramètres!$A$1:$I$89,3,0)*VLOOKUP('Données projet'!$B$12,Paramètres!$A$1:$I$89,5,0)</f>
        <v>151.83167999999986</v>
      </c>
      <c r="CA51" s="14">
        <f t="shared" si="39"/>
        <v>38.994546979637654</v>
      </c>
      <c r="CB51" s="22">
        <f t="shared" si="10"/>
        <v>332.35567865620197</v>
      </c>
      <c r="CC51" s="62">
        <f t="shared" si="11"/>
        <v>586.11554734186961</v>
      </c>
      <c r="CD51" s="62">
        <f ca="1">AVERAGE(OFFSET($CC$3,0,0,'Données projet'!$E$12+1,1))-AVERAGE(OFFSET($H$3,0,0,'Données projet'!$E$12+1,1))</f>
        <v>325.33012514933523</v>
      </c>
      <c r="CE51" s="62">
        <f t="shared" si="40"/>
        <v>332.38915219929675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3.3821872059538518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4.9314348558275128E-2</v>
      </c>
      <c r="CN51" s="24">
        <f t="shared" si="12"/>
        <v>3.4315015545121268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14.1</v>
      </c>
      <c r="N52" s="14">
        <f>IF('Données projet'!$A$36&gt;35,N51+M52-V51,IF(A52&lt;'Données projet'!$A$36,$K$205^A52,IF(A52='Données projet'!$A$36,'Données projet'!$B$36,N51+M52-V51)))</f>
        <v>300.90000000000009</v>
      </c>
      <c r="O52" s="14">
        <f>N52*VLOOKUP('Données projet'!$B$9,Paramètres!$A$1:$I$89,3,0)*VLOOKUP('Données projet'!$B$9,Paramètres!$A$1:$I$89,5,0)</f>
        <v>179.93820000000005</v>
      </c>
      <c r="P52" s="14">
        <f t="shared" si="33"/>
        <v>45.308436530386629</v>
      </c>
      <c r="Q52" s="22">
        <f t="shared" si="53"/>
        <v>392.30455862375675</v>
      </c>
      <c r="R52" s="62">
        <f t="shared" si="0"/>
        <v>646.75093844804871</v>
      </c>
      <c r="S52" s="62">
        <f ca="1">AVERAGE(OFFSET($R$3,0,0,'Données projet'!$E$9+1,1))-AVERAGE(OFFSET($H$3,0,0,'Données projet'!$E$9+1,1))</f>
        <v>319.74550658573207</v>
      </c>
      <c r="T52" s="62">
        <f t="shared" si="34"/>
        <v>231.35643408122294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2.603961483530886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8.8296853698964766E-3</v>
      </c>
      <c r="AC52" s="24">
        <f t="shared" si="3"/>
        <v>2.6127911689007823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254.64144953102331</v>
      </c>
      <c r="AO52" s="62">
        <f t="shared" si="36"/>
        <v>361.41009011468407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1.111018843488482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5.8456016033067099E-3</v>
      </c>
      <c r="AX52" s="23">
        <f t="shared" si="6"/>
        <v>1.1168644450917886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115.39999999999996</v>
      </c>
      <c r="BE52" s="14">
        <f>BD52*VLOOKUP('Données projet'!$B$11,Paramètres!$A$1:$I$89,3,0)*VLOOKUP('Données projet'!$B$11,Paramètres!$A$1:$I$89,5,0)</f>
        <v>120.61607999999998</v>
      </c>
      <c r="BF52" s="14">
        <f t="shared" si="37"/>
        <v>31.818646984184912</v>
      </c>
      <c r="BG52" s="22">
        <f t="shared" si="7"/>
        <v>265.49048283078872</v>
      </c>
      <c r="BH52" s="62">
        <f t="shared" si="8"/>
        <v>519.93686265508063</v>
      </c>
      <c r="BI52" s="62">
        <f ca="1">AVERAGE(OFFSET($BH$3,0,0,'Données projet'!$E$11+1,1))-AVERAGE(OFFSET($H$3,0,0,'Données projet'!$E$11+1,1))</f>
        <v>352.34406861564418</v>
      </c>
      <c r="BJ52" s="62">
        <f t="shared" si="38"/>
        <v>182.40373266220317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6.6</v>
      </c>
      <c r="BY52" s="13">
        <f>IF('Données projet'!$A$114&gt;35,BY51+BX52-CG51,IF(A52&lt;'Données projet'!$A$114,$BV$205^A52,IF(A52='Données projet'!$A$114,'Données projet'!$B$114,BY51+BX52-CG51)))</f>
        <v>180.39999999999981</v>
      </c>
      <c r="BZ52" s="14">
        <f>BY52*VLOOKUP('Données projet'!$B$12,Paramètres!$A$1:$I$89,3,0)*VLOOKUP('Données projet'!$B$12,Paramètres!$A$1:$I$89,5,0)</f>
        <v>157.59743999999986</v>
      </c>
      <c r="CA52" s="14">
        <f t="shared" si="39"/>
        <v>40.300135037830493</v>
      </c>
      <c r="CB52" s="22">
        <f t="shared" si="10"/>
        <v>344.67160985755453</v>
      </c>
      <c r="CC52" s="62">
        <f t="shared" si="11"/>
        <v>599.11798968184644</v>
      </c>
      <c r="CD52" s="62">
        <f ca="1">AVERAGE(OFFSET($CC$3,0,0,'Données projet'!$E$12+1,1))-AVERAGE(OFFSET($H$3,0,0,'Données projet'!$E$12+1,1))</f>
        <v>325.33012514933523</v>
      </c>
      <c r="CE52" s="62">
        <f t="shared" si="40"/>
        <v>332.38915219929675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3.3158645777755948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3.4870510275353386E-2</v>
      </c>
      <c r="CN52" s="24">
        <f t="shared" si="12"/>
        <v>3.3507350880509481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315</v>
      </c>
      <c r="L53" s="13">
        <f>VLOOKUP(A53,'Données projet'!$A$35:$I$55,9,0)</f>
        <v>14.1</v>
      </c>
      <c r="M53" s="13">
        <f t="array" ref="M53">INDEX(L:L,MIN(IF(ISNUMBER(L53:L249),ROW(L53:L249),"")))</f>
        <v>14.1</v>
      </c>
      <c r="N53" s="14">
        <f>IF('Données projet'!$A$36&gt;35,N52+M53-V52,IF(A53&lt;'Données projet'!$A$36,$K$205^A53,IF(A53='Données projet'!$A$36,'Données projet'!$B$36,N52+M53-V52)))</f>
        <v>315.00000000000011</v>
      </c>
      <c r="O53" s="14">
        <f>N53*VLOOKUP('Données projet'!$B$9,Paramètres!$A$1:$I$89,3,0)*VLOOKUP('Données projet'!$B$9,Paramètres!$A$1:$I$89,5,0)</f>
        <v>188.37000000000009</v>
      </c>
      <c r="P53" s="14">
        <f t="shared" si="33"/>
        <v>47.179402486491341</v>
      </c>
      <c r="Q53" s="22">
        <f t="shared" si="53"/>
        <v>410.24854266397256</v>
      </c>
      <c r="R53" s="62">
        <f t="shared" si="0"/>
        <v>665.36952419344266</v>
      </c>
      <c r="S53" s="62">
        <f ca="1">AVERAGE(OFFSET($R$3,0,0,'Données projet'!$E$9+1,1))-AVERAGE(OFFSET($H$3,0,0,'Données projet'!$E$9+1,1))</f>
        <v>319.74550658573207</v>
      </c>
      <c r="T53" s="62">
        <f t="shared" si="34"/>
        <v>231.35643408122294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79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2.5528993870985226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6.2435304007974479E-3</v>
      </c>
      <c r="AC53" s="24">
        <f t="shared" si="3"/>
        <v>2.5591429174993201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254.64144953102331</v>
      </c>
      <c r="AO53" s="62">
        <f t="shared" si="36"/>
        <v>361.41009011468407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1.0892324416222545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4.133464533813129E-3</v>
      </c>
      <c r="AX53" s="23">
        <f t="shared" si="6"/>
        <v>1.0933659061560677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120.99999999999996</v>
      </c>
      <c r="BE53" s="14">
        <f>BD53*VLOOKUP('Données projet'!$B$11,Paramètres!$A$1:$I$89,3,0)*VLOOKUP('Données projet'!$B$11,Paramètres!$A$1:$I$89,5,0)</f>
        <v>126.46919999999997</v>
      </c>
      <c r="BF53" s="14">
        <f t="shared" si="37"/>
        <v>33.17919224765545</v>
      </c>
      <c r="BG53" s="22">
        <f t="shared" si="7"/>
        <v>278.05428316466646</v>
      </c>
      <c r="BH53" s="62">
        <f t="shared" si="8"/>
        <v>533.17526469413656</v>
      </c>
      <c r="BI53" s="62">
        <f ca="1">AVERAGE(OFFSET($BH$3,0,0,'Données projet'!$E$11+1,1))-AVERAGE(OFFSET($H$3,0,0,'Données projet'!$E$11+1,1))</f>
        <v>352.34406861564418</v>
      </c>
      <c r="BJ53" s="62">
        <f t="shared" si="38"/>
        <v>182.40373266220317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187</v>
      </c>
      <c r="BW53" s="13">
        <f>VLOOKUP(A53,'Données projet'!$A$113:$I$133,9,0)</f>
        <v>6.6</v>
      </c>
      <c r="BX53" s="13">
        <f t="array" ref="BX53">INDEX(BW:BW,MIN(IF(ISNUMBER(BW53:BW249),ROW(BW53:BW249),"")))</f>
        <v>6.6</v>
      </c>
      <c r="BY53" s="13">
        <f>IF('Données projet'!$A$114&gt;35,BY52+BX53-CG52,IF(A53&lt;'Données projet'!$A$114,$BV$205^A53,IF(A53='Données projet'!$A$114,'Données projet'!$B$114,BY52+BX53-CG52)))</f>
        <v>186.9999999999998</v>
      </c>
      <c r="BZ53" s="14">
        <f>BY53*VLOOKUP('Données projet'!$B$12,Paramètres!$A$1:$I$89,3,0)*VLOOKUP('Données projet'!$B$12,Paramètres!$A$1:$I$89,5,0)</f>
        <v>163.36319999999984</v>
      </c>
      <c r="CA53" s="14">
        <f t="shared" si="39"/>
        <v>41.60017371558159</v>
      </c>
      <c r="CB53" s="22">
        <f t="shared" si="10"/>
        <v>356.97787588797092</v>
      </c>
      <c r="CC53" s="62">
        <f t="shared" si="11"/>
        <v>612.09885741744097</v>
      </c>
      <c r="CD53" s="62">
        <f ca="1">AVERAGE(OFFSET($CC$3,0,0,'Données projet'!$E$12+1,1))-AVERAGE(OFFSET($H$3,0,0,'Données projet'!$E$12+1,1))</f>
        <v>325.33012514933523</v>
      </c>
      <c r="CE53" s="62">
        <f t="shared" si="40"/>
        <v>332.38915219929675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3.2508424958831048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2.4657174279137564E-2</v>
      </c>
      <c r="CN53" s="24">
        <f t="shared" si="12"/>
        <v>3.2754996701622425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15.7</v>
      </c>
      <c r="N54" s="14">
        <f>IF('Données projet'!$A$36&gt;35,N53+M54-V53,IF(A54&lt;'Données projet'!$A$36,$K$205^A54,IF(A54='Données projet'!$A$36,'Données projet'!$B$36,N53+M54-V53)))</f>
        <v>251.7000000000001</v>
      </c>
      <c r="O54" s="14">
        <f>N54*VLOOKUP('Données projet'!$B$9,Paramètres!$A$1:$I$89,3,0)*VLOOKUP('Données projet'!$B$9,Paramètres!$A$1:$I$89,5,0)</f>
        <v>150.51660000000007</v>
      </c>
      <c r="P54" s="14">
        <f t="shared" si="33"/>
        <v>38.695961323116059</v>
      </c>
      <c r="Q54" s="22">
        <f t="shared" si="53"/>
        <v>329.54521097109392</v>
      </c>
      <c r="R54" s="62">
        <f t="shared" si="0"/>
        <v>585.32909137434081</v>
      </c>
      <c r="S54" s="62">
        <f ca="1">AVERAGE(OFFSET($R$3,0,0,'Données projet'!$E$9+1,1))-AVERAGE(OFFSET($H$3,0,0,'Données projet'!$E$9+1,1))</f>
        <v>319.74550658573207</v>
      </c>
      <c r="T54" s="62">
        <f t="shared" si="34"/>
        <v>231.35643408122294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2.5028385872323944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4.4148426849482383E-3</v>
      </c>
      <c r="AC54" s="24">
        <f t="shared" si="3"/>
        <v>2.5072534299173426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254.64144953102331</v>
      </c>
      <c r="AO54" s="62">
        <f t="shared" si="36"/>
        <v>361.41009011468407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1.0678732578082308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2.9228008016533549E-3</v>
      </c>
      <c r="AX54" s="23">
        <f t="shared" si="6"/>
        <v>1.0707960586098841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112.59999999999995</v>
      </c>
      <c r="BE54" s="14">
        <f>BD54*VLOOKUP('Données projet'!$B$11,Paramètres!$A$1:$I$89,3,0)*VLOOKUP('Données projet'!$B$11,Paramètres!$A$1:$I$89,5,0)</f>
        <v>117.68951999999997</v>
      </c>
      <c r="BF54" s="14">
        <f t="shared" si="37"/>
        <v>31.135509543838769</v>
      </c>
      <c r="BG54" s="22">
        <f t="shared" si="7"/>
        <v>259.20359312218585</v>
      </c>
      <c r="BH54" s="62">
        <f t="shared" si="8"/>
        <v>514.98747352543273</v>
      </c>
      <c r="BI54" s="62">
        <f ca="1">AVERAGE(OFFSET($BH$3,0,0,'Données projet'!$E$11+1,1))-AVERAGE(OFFSET($H$3,0,0,'Données projet'!$E$11+1,1))</f>
        <v>352.34406861564418</v>
      </c>
      <c r="BJ54" s="62">
        <f t="shared" si="38"/>
        <v>182.40373266220317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6.2</v>
      </c>
      <c r="BY54" s="13">
        <f>IF('Données projet'!$A$114&gt;35,BY53+BX54-CG53,IF(A54&lt;'Données projet'!$A$114,$BV$205^A54,IF(A54='Données projet'!$A$114,'Données projet'!$B$114,BY53+BX54-CG53)))</f>
        <v>169.19999999999979</v>
      </c>
      <c r="BZ54" s="14">
        <f>BY54*VLOOKUP('Données projet'!$B$12,Paramètres!$A$1:$I$89,3,0)*VLOOKUP('Données projet'!$B$12,Paramètres!$A$1:$I$89,5,0)</f>
        <v>147.81311999999986</v>
      </c>
      <c r="CA54" s="14">
        <f t="shared" si="39"/>
        <v>38.081185298782451</v>
      </c>
      <c r="CB54" s="22">
        <f t="shared" si="10"/>
        <v>323.76591506204585</v>
      </c>
      <c r="CC54" s="62">
        <f t="shared" si="11"/>
        <v>579.54979546529262</v>
      </c>
      <c r="CD54" s="62">
        <f ca="1">AVERAGE(OFFSET($CC$3,0,0,'Données projet'!$E$12+1,1))-AVERAGE(OFFSET($H$3,0,0,'Données projet'!$E$12+1,1))</f>
        <v>325.33012514933523</v>
      </c>
      <c r="CE54" s="62">
        <f t="shared" si="40"/>
        <v>332.38915219929675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3.1870954573569725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1.7435255137676693E-2</v>
      </c>
      <c r="CN54" s="24">
        <f t="shared" si="12"/>
        <v>3.2045307124946492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15.7</v>
      </c>
      <c r="N55" s="14">
        <f>IF('Données projet'!$A$36&gt;35,N54+M55-V54,IF(A55&lt;'Données projet'!$A$36,$K$205^A55,IF(A55='Données projet'!$A$36,'Données projet'!$B$36,N54+M55-V54)))</f>
        <v>267.40000000000009</v>
      </c>
      <c r="O55" s="14">
        <f>N55*VLOOKUP('Données projet'!$B$9,Paramètres!$A$1:$I$89,3,0)*VLOOKUP('Données projet'!$B$9,Paramètres!$A$1:$I$89,5,0)</f>
        <v>159.90520000000006</v>
      </c>
      <c r="P55" s="14">
        <f t="shared" si="33"/>
        <v>40.821132264574658</v>
      </c>
      <c r="Q55" s="22">
        <f t="shared" si="53"/>
        <v>349.59836202746766</v>
      </c>
      <c r="R55" s="62">
        <f t="shared" si="0"/>
        <v>606.03364149105096</v>
      </c>
      <c r="S55" s="62">
        <f ca="1">AVERAGE(OFFSET($R$3,0,0,'Données projet'!$E$9+1,1))-AVERAGE(OFFSET($H$3,0,0,'Données projet'!$E$9+1,1))</f>
        <v>319.74550658573207</v>
      </c>
      <c r="T55" s="62">
        <f t="shared" si="34"/>
        <v>231.35643408122294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2.4537594491175678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3.121765200398724E-3</v>
      </c>
      <c r="AC55" s="24">
        <f t="shared" si="3"/>
        <v>2.4568812143179666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254.64144953102331</v>
      </c>
      <c r="AO55" s="62">
        <f t="shared" si="36"/>
        <v>361.41009011468407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1.0469329145609845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2.0667322669065645E-3</v>
      </c>
      <c r="AX55" s="23">
        <f t="shared" si="6"/>
        <v>1.048999646827891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118.19999999999995</v>
      </c>
      <c r="BE55" s="14">
        <f>BD55*VLOOKUP('Données projet'!$B$11,Paramètres!$A$1:$I$89,3,0)*VLOOKUP('Données projet'!$B$11,Paramètres!$A$1:$I$89,5,0)</f>
        <v>123.54263999999996</v>
      </c>
      <c r="BF55" s="14">
        <f t="shared" si="37"/>
        <v>32.499857586578202</v>
      </c>
      <c r="BG55" s="22">
        <f t="shared" si="7"/>
        <v>271.77401662995698</v>
      </c>
      <c r="BH55" s="62">
        <f t="shared" si="8"/>
        <v>528.20929609354039</v>
      </c>
      <c r="BI55" s="62">
        <f ca="1">AVERAGE(OFFSET($BH$3,0,0,'Données projet'!$E$11+1,1))-AVERAGE(OFFSET($H$3,0,0,'Données projet'!$E$11+1,1))</f>
        <v>352.34406861564418</v>
      </c>
      <c r="BJ55" s="62">
        <f t="shared" si="38"/>
        <v>182.40373266220317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6.2</v>
      </c>
      <c r="BY55" s="13">
        <f>IF('Données projet'!$A$114&gt;35,BY54+BX55-CG54,IF(A55&lt;'Données projet'!$A$114,$BV$205^A55,IF(A55='Données projet'!$A$114,'Données projet'!$B$114,BY54+BX55-CG54)))</f>
        <v>175.39999999999978</v>
      </c>
      <c r="BZ55" s="14">
        <f>BY55*VLOOKUP('Données projet'!$B$12,Paramètres!$A$1:$I$89,3,0)*VLOOKUP('Données projet'!$B$12,Paramètres!$A$1:$I$89,5,0)</f>
        <v>153.22943999999984</v>
      </c>
      <c r="CA55" s="14">
        <f t="shared" si="39"/>
        <v>39.311575138468292</v>
      </c>
      <c r="CB55" s="22">
        <f t="shared" si="10"/>
        <v>335.34226803283201</v>
      </c>
      <c r="CC55" s="62">
        <f t="shared" si="11"/>
        <v>591.77754749641531</v>
      </c>
      <c r="CD55" s="62">
        <f ca="1">AVERAGE(OFFSET($CC$3,0,0,'Données projet'!$E$12+1,1))-AVERAGE(OFFSET($H$3,0,0,'Données projet'!$E$12+1,1))</f>
        <v>325.33012514933523</v>
      </c>
      <c r="CE55" s="62">
        <f t="shared" si="40"/>
        <v>332.38915219929675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3.1245984593744836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1.2328587139568782E-2</v>
      </c>
      <c r="CN55" s="24">
        <f t="shared" si="12"/>
        <v>3.1369270465140522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15.7</v>
      </c>
      <c r="N56" s="14">
        <f>IF('Données projet'!$A$36&gt;35,N55+M56-V55,IF(A56&lt;'Données projet'!$A$36,$K$205^A56,IF(A56='Données projet'!$A$36,'Données projet'!$B$36,N55+M56-V55)))</f>
        <v>283.10000000000008</v>
      </c>
      <c r="O56" s="14">
        <f>N56*VLOOKUP('Données projet'!$B$9,Paramètres!$A$1:$I$89,3,0)*VLOOKUP('Données projet'!$B$9,Paramètres!$A$1:$I$89,5,0)</f>
        <v>169.29380000000009</v>
      </c>
      <c r="P56" s="14">
        <f t="shared" si="33"/>
        <v>42.931819978697277</v>
      </c>
      <c r="Q56" s="22">
        <f t="shared" si="53"/>
        <v>369.6262881295645</v>
      </c>
      <c r="R56" s="62">
        <f t="shared" si="0"/>
        <v>626.70166633609779</v>
      </c>
      <c r="S56" s="62">
        <f ca="1">AVERAGE(OFFSET($R$3,0,0,'Données projet'!$E$9+1,1))-AVERAGE(OFFSET($H$3,0,0,'Données projet'!$E$9+1,1))</f>
        <v>319.74550658573207</v>
      </c>
      <c r="T56" s="62">
        <f t="shared" si="34"/>
        <v>231.35643408122294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2.405642722965855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2.2074213424741192E-3</v>
      </c>
      <c r="AC56" s="24">
        <f t="shared" si="3"/>
        <v>2.4078501443083291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254.64144953102331</v>
      </c>
      <c r="AO56" s="62">
        <f t="shared" si="36"/>
        <v>361.41009011468407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1.0264031986724682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1.4614004008266775E-3</v>
      </c>
      <c r="AX56" s="23">
        <f t="shared" si="6"/>
        <v>1.0278645990732949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123.79999999999994</v>
      </c>
      <c r="BE56" s="14">
        <f>BD56*VLOOKUP('Données projet'!$B$11,Paramètres!$A$1:$I$89,3,0)*VLOOKUP('Données projet'!$B$11,Paramètres!$A$1:$I$89,5,0)</f>
        <v>129.39575999999997</v>
      </c>
      <c r="BF56" s="14">
        <f t="shared" si="37"/>
        <v>33.856699374099193</v>
      </c>
      <c r="BG56" s="22">
        <f t="shared" si="7"/>
        <v>284.33136674322265</v>
      </c>
      <c r="BH56" s="62">
        <f t="shared" si="8"/>
        <v>541.40674494975588</v>
      </c>
      <c r="BI56" s="62">
        <f ca="1">AVERAGE(OFFSET($BH$3,0,0,'Données projet'!$E$11+1,1))-AVERAGE(OFFSET($H$3,0,0,'Données projet'!$E$11+1,1))</f>
        <v>352.34406861564418</v>
      </c>
      <c r="BJ56" s="62">
        <f t="shared" si="38"/>
        <v>182.40373266220317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6.2</v>
      </c>
      <c r="BY56" s="13">
        <f>IF('Données projet'!$A$114&gt;35,BY55+BX56-CG55,IF(A56&lt;'Données projet'!$A$114,$BV$205^A56,IF(A56='Données projet'!$A$114,'Données projet'!$B$114,BY55+BX56-CG55)))</f>
        <v>181.59999999999977</v>
      </c>
      <c r="BZ56" s="14">
        <f>BY56*VLOOKUP('Données projet'!$B$12,Paramètres!$A$1:$I$89,3,0)*VLOOKUP('Données projet'!$B$12,Paramètres!$A$1:$I$89,5,0)</f>
        <v>158.64575999999983</v>
      </c>
      <c r="CA56" s="14">
        <f t="shared" si="39"/>
        <v>40.536911851071018</v>
      </c>
      <c r="CB56" s="22">
        <f t="shared" si="10"/>
        <v>346.90982014061501</v>
      </c>
      <c r="CC56" s="62">
        <f t="shared" si="11"/>
        <v>603.9851983471483</v>
      </c>
      <c r="CD56" s="62">
        <f ca="1">AVERAGE(OFFSET($CC$3,0,0,'Données projet'!$E$12+1,1))-AVERAGE(OFFSET($H$3,0,0,'Données projet'!$E$12+1,1))</f>
        <v>325.33012514933523</v>
      </c>
      <c r="CE56" s="62">
        <f t="shared" si="40"/>
        <v>332.38915219929675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3.0633269894030262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8.7176275688383466E-3</v>
      </c>
      <c r="CN56" s="24">
        <f t="shared" si="12"/>
        <v>3.0720446169718647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15.7</v>
      </c>
      <c r="N57" s="14">
        <f>IF('Données projet'!$A$36&gt;35,N56+M57-V56,IF(A57&lt;'Données projet'!$A$36,$K$205^A57,IF(A57='Données projet'!$A$36,'Données projet'!$B$36,N56+M57-V56)))</f>
        <v>298.80000000000007</v>
      </c>
      <c r="O57" s="14">
        <f>N57*VLOOKUP('Données projet'!$B$9,Paramètres!$A$1:$I$89,3,0)*VLOOKUP('Données projet'!$B$9,Paramètres!$A$1:$I$89,5,0)</f>
        <v>178.68240000000006</v>
      </c>
      <c r="P57" s="14">
        <f t="shared" si="33"/>
        <v>45.028919214980071</v>
      </c>
      <c r="Q57" s="22">
        <f t="shared" si="53"/>
        <v>389.63054763275704</v>
      </c>
      <c r="R57" s="62">
        <f t="shared" si="0"/>
        <v>647.33492030009643</v>
      </c>
      <c r="S57" s="62">
        <f ca="1">AVERAGE(OFFSET($R$3,0,0,'Données projet'!$E$9+1,1))-AVERAGE(OFFSET($H$3,0,0,'Données projet'!$E$9+1,1))</f>
        <v>319.74550658573207</v>
      </c>
      <c r="T57" s="62">
        <f t="shared" si="34"/>
        <v>231.35643408122294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2.3584695364656723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1.560882600199362E-3</v>
      </c>
      <c r="AC57" s="24">
        <f t="shared" si="3"/>
        <v>2.3600304190658714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254.64144953102331</v>
      </c>
      <c r="AO57" s="62">
        <f t="shared" si="36"/>
        <v>361.41009011468407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1.0062760579906356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1.0333661334532823E-3</v>
      </c>
      <c r="AX57" s="23">
        <f t="shared" si="6"/>
        <v>1.0073094241240887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129.39999999999995</v>
      </c>
      <c r="BE57" s="14">
        <f>BD57*VLOOKUP('Données projet'!$B$11,Paramètres!$A$1:$I$89,3,0)*VLOOKUP('Données projet'!$B$11,Paramètres!$A$1:$I$89,5,0)</f>
        <v>135.24887999999996</v>
      </c>
      <c r="BF57" s="14">
        <f t="shared" si="37"/>
        <v>35.206413236083414</v>
      </c>
      <c r="BG57" s="22">
        <f t="shared" si="7"/>
        <v>296.87630238617851</v>
      </c>
      <c r="BH57" s="62">
        <f t="shared" si="8"/>
        <v>554.58067505351778</v>
      </c>
      <c r="BI57" s="62">
        <f ca="1">AVERAGE(OFFSET($BH$3,0,0,'Données projet'!$E$11+1,1))-AVERAGE(OFFSET($H$3,0,0,'Données projet'!$E$11+1,1))</f>
        <v>352.34406861564418</v>
      </c>
      <c r="BJ57" s="62">
        <f t="shared" si="38"/>
        <v>182.40373266220317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6.2</v>
      </c>
      <c r="BY57" s="13">
        <f>IF('Données projet'!$A$114&gt;35,BY56+BX57-CG56,IF(A57&lt;'Données projet'!$A$114,$BV$205^A57,IF(A57='Données projet'!$A$114,'Données projet'!$B$114,BY56+BX57-CG56)))</f>
        <v>187.79999999999976</v>
      </c>
      <c r="BZ57" s="14">
        <f>BY57*VLOOKUP('Données projet'!$B$12,Paramètres!$A$1:$I$89,3,0)*VLOOKUP('Données projet'!$B$12,Paramètres!$A$1:$I$89,5,0)</f>
        <v>164.06207999999981</v>
      </c>
      <c r="CA57" s="14">
        <f t="shared" si="39"/>
        <v>41.757387730134568</v>
      </c>
      <c r="CB57" s="22">
        <f t="shared" si="10"/>
        <v>358.46890629665069</v>
      </c>
      <c r="CC57" s="62">
        <f t="shared" si="11"/>
        <v>616.17327896399001</v>
      </c>
      <c r="CD57" s="62">
        <f ca="1">AVERAGE(OFFSET($CC$3,0,0,'Données projet'!$E$12+1,1))-AVERAGE(OFFSET($H$3,0,0,'Données projet'!$E$12+1,1))</f>
        <v>325.33012514933523</v>
      </c>
      <c r="CE57" s="62">
        <f t="shared" si="40"/>
        <v>332.38915219929675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3.0032570155858029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6.1642935697843911E-3</v>
      </c>
      <c r="CN57" s="24">
        <f t="shared" si="12"/>
        <v>3.0094213091555875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15.7</v>
      </c>
      <c r="N58" s="14">
        <f>IF('Données projet'!$A$36&gt;35,N57+M58-V57,IF(A58&lt;'Données projet'!$A$36,$K$205^A58,IF(A58='Données projet'!$A$36,'Données projet'!$B$36,N57+M58-V57)))</f>
        <v>314.50000000000006</v>
      </c>
      <c r="O58" s="14">
        <f>N58*VLOOKUP('Données projet'!$B$9,Paramètres!$A$1:$I$89,3,0)*VLOOKUP('Données projet'!$B$9,Paramètres!$A$1:$I$89,5,0)</f>
        <v>188.07100000000005</v>
      </c>
      <c r="P58" s="14">
        <f t="shared" si="33"/>
        <v>47.113225385753083</v>
      </c>
      <c r="Q58" s="22">
        <f t="shared" si="53"/>
        <v>409.61252588018669</v>
      </c>
      <c r="R58" s="62">
        <f t="shared" si="0"/>
        <v>667.93498136065807</v>
      </c>
      <c r="S58" s="62">
        <f ca="1">AVERAGE(OFFSET($R$3,0,0,'Données projet'!$E$9+1,1))-AVERAGE(OFFSET($H$3,0,0,'Données projet'!$E$9+1,1))</f>
        <v>319.74550658573207</v>
      </c>
      <c r="T58" s="62">
        <f t="shared" si="34"/>
        <v>231.35643408122294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2.3122213873799553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1.1037106712370596E-3</v>
      </c>
      <c r="AC58" s="24">
        <f t="shared" si="3"/>
        <v>2.3133250980511924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254.64144953102331</v>
      </c>
      <c r="AO58" s="62">
        <f t="shared" si="36"/>
        <v>361.41009011468407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0.98654359826123006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7.3070020041333874E-4</v>
      </c>
      <c r="AX58" s="23">
        <f t="shared" si="6"/>
        <v>0.98727429846164338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135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134.99999999999994</v>
      </c>
      <c r="BE58" s="14">
        <f>BD58*VLOOKUP('Données projet'!$B$11,Paramètres!$A$1:$I$89,3,0)*VLOOKUP('Données projet'!$B$11,Paramètres!$A$1:$I$89,5,0)</f>
        <v>141.10199999999995</v>
      </c>
      <c r="BF58" s="14">
        <f t="shared" si="37"/>
        <v>36.549342904663185</v>
      </c>
      <c r="BG58" s="22">
        <f t="shared" si="7"/>
        <v>309.4094222256216</v>
      </c>
      <c r="BH58" s="62">
        <f t="shared" si="8"/>
        <v>567.73187770609297</v>
      </c>
      <c r="BI58" s="62">
        <f ca="1">AVERAGE(OFFSET($BH$3,0,0,'Données projet'!$E$11+1,1))-AVERAGE(OFFSET($H$3,0,0,'Données projet'!$E$11+1,1))</f>
        <v>352.34406861564418</v>
      </c>
      <c r="BJ58" s="62">
        <f t="shared" si="38"/>
        <v>182.40373266220317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194</v>
      </c>
      <c r="BW58" s="13">
        <f>VLOOKUP(A58,'Données projet'!$A$113:$I$133,9,0)</f>
        <v>6.2</v>
      </c>
      <c r="BX58" s="13">
        <f t="array" ref="BX58">INDEX(BW:BW,MIN(IF(ISNUMBER(BW58:BW254),ROW(BW58:BW254),"")))</f>
        <v>6.2</v>
      </c>
      <c r="BY58" s="13">
        <f>IF('Données projet'!$A$114&gt;35,BY57+BX58-CG57,IF(A58&lt;'Données projet'!$A$114,$BV$205^A58,IF(A58='Données projet'!$A$114,'Données projet'!$B$114,BY57+BX58-CG57)))</f>
        <v>193.99999999999974</v>
      </c>
      <c r="BZ58" s="14">
        <f>BY58*VLOOKUP('Données projet'!$B$12,Paramètres!$A$1:$I$89,3,0)*VLOOKUP('Données projet'!$B$12,Paramètres!$A$1:$I$89,5,0)</f>
        <v>169.47839999999979</v>
      </c>
      <c r="CA58" s="14">
        <f t="shared" si="39"/>
        <v>42.973181651930254</v>
      </c>
      <c r="CB58" s="22">
        <f t="shared" si="10"/>
        <v>370.01983804377818</v>
      </c>
      <c r="CC58" s="62">
        <f t="shared" si="11"/>
        <v>628.3422935242495</v>
      </c>
      <c r="CD58" s="62">
        <f ca="1">AVERAGE(OFFSET($CC$3,0,0,'Données projet'!$E$12+1,1))-AVERAGE(OFFSET($H$3,0,0,'Données projet'!$E$12+1,1))</f>
        <v>325.33012514933523</v>
      </c>
      <c r="CE58" s="62">
        <f t="shared" si="40"/>
        <v>332.38915219929675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2.9443649773160692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4.3588137844191733E-3</v>
      </c>
      <c r="CN58" s="24">
        <f t="shared" si="12"/>
        <v>2.9487237911004884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15.7</v>
      </c>
      <c r="N59" s="14">
        <f>IF('Données projet'!$A$36&gt;35,N58+M59-V58,IF(A59&lt;'Données projet'!$A$36,$K$205^A59,IF(A59='Données projet'!$A$36,'Données projet'!$B$36,N58+M59-V58)))</f>
        <v>330.20000000000005</v>
      </c>
      <c r="O59" s="14">
        <f>N59*VLOOKUP('Données projet'!$B$9,Paramètres!$A$1:$I$89,3,0)*VLOOKUP('Données projet'!$B$9,Paramètres!$A$1:$I$89,5,0)</f>
        <v>197.45960000000005</v>
      </c>
      <c r="P59" s="14">
        <f t="shared" si="33"/>
        <v>49.185450002435452</v>
      </c>
      <c r="Q59" s="22">
        <f t="shared" si="53"/>
        <v>429.57346208757514</v>
      </c>
      <c r="R59" s="62">
        <f t="shared" si="0"/>
        <v>688.50327802619688</v>
      </c>
      <c r="S59" s="62">
        <f ca="1">AVERAGE(OFFSET($R$3,0,0,'Données projet'!$E$9+1,1))-AVERAGE(OFFSET($H$3,0,0,'Données projet'!$E$9+1,1))</f>
        <v>319.74550658573207</v>
      </c>
      <c r="T59" s="62">
        <f t="shared" si="34"/>
        <v>231.35643408122294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2.2668801362892235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7.8044130009968099E-4</v>
      </c>
      <c r="AC59" s="24">
        <f t="shared" si="3"/>
        <v>2.2676605775893233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254.64144953102331</v>
      </c>
      <c r="AO59" s="62">
        <f t="shared" si="36"/>
        <v>361.41009011468407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0.9671980800315062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5.1668306672664113E-4</v>
      </c>
      <c r="AX59" s="23">
        <f t="shared" si="6"/>
        <v>0.96771476309823279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5.4</v>
      </c>
      <c r="BD59" s="13">
        <f>IF('Données projet'!$A$88&gt;35,BD58+BC59-BL58,IF(A59&lt;'Données projet'!$A$88,$BA$205^A59,IF(A59='Données projet'!$A$88,'Données projet'!$B$88,BD58+BC59-BL58)))</f>
        <v>126.39999999999995</v>
      </c>
      <c r="BE59" s="14">
        <f>BD59*VLOOKUP('Données projet'!$B$11,Paramètres!$A$1:$I$89,3,0)*VLOOKUP('Données projet'!$B$11,Paramètres!$A$1:$I$89,5,0)</f>
        <v>132.11327999999997</v>
      </c>
      <c r="BF59" s="14">
        <f t="shared" si="37"/>
        <v>34.48421706763893</v>
      </c>
      <c r="BG59" s="22">
        <f t="shared" si="7"/>
        <v>290.1573073928044</v>
      </c>
      <c r="BH59" s="62">
        <f t="shared" si="8"/>
        <v>549.08712333142614</v>
      </c>
      <c r="BI59" s="62">
        <f ca="1">AVERAGE(OFFSET($BH$3,0,0,'Données projet'!$E$11+1,1))-AVERAGE(OFFSET($H$3,0,0,'Données projet'!$E$11+1,1))</f>
        <v>352.34406861564418</v>
      </c>
      <c r="BJ59" s="62">
        <f t="shared" si="38"/>
        <v>182.40373266220317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5.2</v>
      </c>
      <c r="BY59" s="13">
        <f>IF('Données projet'!$A$114&gt;35,BY58+BX59-CG58,IF(A59&lt;'Données projet'!$A$114,$BV$205^A59,IF(A59='Données projet'!$A$114,'Données projet'!$B$114,BY58+BX59-CG58)))</f>
        <v>178.19999999999973</v>
      </c>
      <c r="BZ59" s="14">
        <f>BY59*VLOOKUP('Données projet'!$B$12,Paramètres!$A$1:$I$89,3,0)*VLOOKUP('Données projet'!$B$12,Paramètres!$A$1:$I$89,5,0)</f>
        <v>155.67551999999978</v>
      </c>
      <c r="CA59" s="14">
        <f t="shared" si="39"/>
        <v>39.865566884055028</v>
      </c>
      <c r="CB59" s="22">
        <f t="shared" si="10"/>
        <v>340.56739298972877</v>
      </c>
      <c r="CC59" s="62">
        <f t="shared" si="11"/>
        <v>599.49720892835057</v>
      </c>
      <c r="CD59" s="62">
        <f ca="1">AVERAGE(OFFSET($CC$3,0,0,'Données projet'!$E$12+1,1))-AVERAGE(OFFSET($H$3,0,0,'Données projet'!$E$12+1,1))</f>
        <v>325.33012514933523</v>
      </c>
      <c r="CE59" s="62">
        <f t="shared" si="40"/>
        <v>332.38915219929675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2.8866277759962085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3.0821467848921955E-3</v>
      </c>
      <c r="CN59" s="24">
        <f t="shared" si="12"/>
        <v>2.8897099227811007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15.7</v>
      </c>
      <c r="N60" s="14">
        <f>IF('Données projet'!$A$36&gt;35,N59+M60-V59,IF(A60&lt;'Données projet'!$A$36,$K$205^A60,IF(A60='Données projet'!$A$36,'Données projet'!$B$36,N59+M60-V59)))</f>
        <v>345.90000000000003</v>
      </c>
      <c r="O60" s="14">
        <f>N60*VLOOKUP('Données projet'!$B$9,Paramètres!$A$1:$I$89,3,0)*VLOOKUP('Données projet'!$B$9,Paramètres!$A$1:$I$89,5,0)</f>
        <v>206.84820000000005</v>
      </c>
      <c r="P60" s="14">
        <f t="shared" si="33"/>
        <v>51.246233092829954</v>
      </c>
      <c r="Q60" s="22">
        <f t="shared" si="53"/>
        <v>449.51447097001227</v>
      </c>
      <c r="R60" s="62">
        <f t="shared" si="0"/>
        <v>709.04111102068998</v>
      </c>
      <c r="S60" s="62">
        <f ca="1">AVERAGE(OFFSET($R$3,0,0,'Données projet'!$E$9+1,1))-AVERAGE(OFFSET($H$3,0,0,'Données projet'!$E$9+1,1))</f>
        <v>319.74550658573207</v>
      </c>
      <c r="T60" s="62">
        <f t="shared" si="34"/>
        <v>231.35643408122294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2.2224279994769485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5.5185533561852979E-4</v>
      </c>
      <c r="AC60" s="24">
        <f t="shared" si="3"/>
        <v>2.222979854812567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254.64144953102331</v>
      </c>
      <c r="AO60" s="62">
        <f t="shared" si="36"/>
        <v>361.41009011468407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0.94823191561466613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3.6535010020666937E-4</v>
      </c>
      <c r="AX60" s="23">
        <f t="shared" si="6"/>
        <v>0.94859726571487279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5.4</v>
      </c>
      <c r="BD60" s="13">
        <f>IF('Données projet'!$A$88&gt;35,BD59+BC60-BL59,IF(A60&lt;'Données projet'!$A$88,$BA$205^A60,IF(A60='Données projet'!$A$88,'Données projet'!$B$88,BD59+BC60-BL59)))</f>
        <v>131.79999999999995</v>
      </c>
      <c r="BE60" s="14">
        <f>BD60*VLOOKUP('Données projet'!$B$11,Paramètres!$A$1:$I$89,3,0)*VLOOKUP('Données projet'!$B$11,Paramètres!$A$1:$I$89,5,0)</f>
        <v>137.75735999999995</v>
      </c>
      <c r="BF60" s="14">
        <f t="shared" si="37"/>
        <v>35.782766308840856</v>
      </c>
      <c r="BG60" s="22">
        <f t="shared" si="7"/>
        <v>302.24905332123103</v>
      </c>
      <c r="BH60" s="62">
        <f t="shared" si="8"/>
        <v>561.7756933719088</v>
      </c>
      <c r="BI60" s="62">
        <f ca="1">AVERAGE(OFFSET($BH$3,0,0,'Données projet'!$E$11+1,1))-AVERAGE(OFFSET($H$3,0,0,'Données projet'!$E$11+1,1))</f>
        <v>352.34406861564418</v>
      </c>
      <c r="BJ60" s="62">
        <f t="shared" si="38"/>
        <v>182.40373266220317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5.2</v>
      </c>
      <c r="BY60" s="13">
        <f>IF('Données projet'!$A$114&gt;35,BY59+BX60-CG59,IF(A60&lt;'Données projet'!$A$114,$BV$205^A60,IF(A60='Données projet'!$A$114,'Données projet'!$B$114,BY59+BX60-CG59)))</f>
        <v>183.39999999999972</v>
      </c>
      <c r="BZ60" s="14">
        <f>BY60*VLOOKUP('Données projet'!$B$12,Paramètres!$A$1:$I$89,3,0)*VLOOKUP('Données projet'!$B$12,Paramètres!$A$1:$I$89,5,0)</f>
        <v>160.21823999999978</v>
      </c>
      <c r="CA60" s="14">
        <f t="shared" si="39"/>
        <v>40.891736142170181</v>
      </c>
      <c r="CB60" s="22">
        <f t="shared" si="10"/>
        <v>350.266541780946</v>
      </c>
      <c r="CC60" s="62">
        <f t="shared" si="11"/>
        <v>609.79318183162377</v>
      </c>
      <c r="CD60" s="62">
        <f ca="1">AVERAGE(OFFSET($CC$3,0,0,'Données projet'!$E$12+1,1))-AVERAGE(OFFSET($H$3,0,0,'Données projet'!$E$12+1,1))</f>
        <v>325.33012514933523</v>
      </c>
      <c r="CE60" s="62">
        <f t="shared" si="40"/>
        <v>332.38915219929675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2.8300227659780144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2.1794068922095866E-3</v>
      </c>
      <c r="CN60" s="24">
        <f t="shared" si="12"/>
        <v>2.832202172870224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15.7</v>
      </c>
      <c r="N61" s="14">
        <f>IF('Données projet'!$A$36&gt;35,N60+M61-V60,IF(A61&lt;'Données projet'!$A$36,$K$205^A61,IF(A61='Données projet'!$A$36,'Données projet'!$B$36,N60+M61-V60)))</f>
        <v>361.6</v>
      </c>
      <c r="O61" s="14">
        <f>N61*VLOOKUP('Données projet'!$B$9,Paramètres!$A$1:$I$89,3,0)*VLOOKUP('Données projet'!$B$9,Paramètres!$A$1:$I$89,5,0)</f>
        <v>216.23680000000002</v>
      </c>
      <c r="P61" s="14">
        <f t="shared" si="33"/>
        <v>53.296153300267918</v>
      </c>
      <c r="Q61" s="22">
        <f t="shared" si="53"/>
        <v>469.43656033129997</v>
      </c>
      <c r="R61" s="62">
        <f t="shared" si="0"/>
        <v>729.54967092998845</v>
      </c>
      <c r="S61" s="62">
        <f ca="1">AVERAGE(OFFSET($R$3,0,0,'Données projet'!$E$9+1,1))-AVERAGE(OFFSET($H$3,0,0,'Données projet'!$E$9+1,1))</f>
        <v>319.74550658573207</v>
      </c>
      <c r="T61" s="62">
        <f t="shared" si="34"/>
        <v>231.35643408122294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2.1788475419544362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3.902206500498405E-4</v>
      </c>
      <c r="AC61" s="24">
        <f t="shared" si="3"/>
        <v>2.1792377626044859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254.64144953102331</v>
      </c>
      <c r="AO61" s="62">
        <f t="shared" si="36"/>
        <v>361.41009011468407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0.92963766611382237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2.5834153336332056E-4</v>
      </c>
      <c r="AX61" s="23">
        <f t="shared" si="6"/>
        <v>0.92989600764718572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5.4</v>
      </c>
      <c r="BD61" s="13">
        <f>IF('Données projet'!$A$88&gt;35,BD60+BC61-BL60,IF(A61&lt;'Données projet'!$A$88,$BA$205^A61,IF(A61='Données projet'!$A$88,'Données projet'!$B$88,BD60+BC61-BL60)))</f>
        <v>137.19999999999996</v>
      </c>
      <c r="BE61" s="14">
        <f>BD61*VLOOKUP('Données projet'!$B$11,Paramètres!$A$1:$I$89,3,0)*VLOOKUP('Données projet'!$B$11,Paramètres!$A$1:$I$89,5,0)</f>
        <v>143.40143999999998</v>
      </c>
      <c r="BF61" s="14">
        <f t="shared" si="37"/>
        <v>37.075135629096387</v>
      </c>
      <c r="BG61" s="22">
        <f t="shared" si="7"/>
        <v>314.33003588734283</v>
      </c>
      <c r="BH61" s="62">
        <f t="shared" si="8"/>
        <v>574.44314648603131</v>
      </c>
      <c r="BI61" s="62">
        <f ca="1">AVERAGE(OFFSET($BH$3,0,0,'Données projet'!$E$11+1,1))-AVERAGE(OFFSET($H$3,0,0,'Données projet'!$E$11+1,1))</f>
        <v>352.34406861564418</v>
      </c>
      <c r="BJ61" s="62">
        <f t="shared" si="38"/>
        <v>182.40373266220317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5.2</v>
      </c>
      <c r="BY61" s="13">
        <f>IF('Données projet'!$A$114&gt;35,BY60+BX61-CG60,IF(A61&lt;'Données projet'!$A$114,$BV$205^A61,IF(A61='Données projet'!$A$114,'Données projet'!$B$114,BY60+BX61-CG60)))</f>
        <v>188.59999999999971</v>
      </c>
      <c r="BZ61" s="14">
        <f>BY61*VLOOKUP('Données projet'!$B$12,Paramètres!$A$1:$I$89,3,0)*VLOOKUP('Données projet'!$B$12,Paramètres!$A$1:$I$89,5,0)</f>
        <v>164.76095999999976</v>
      </c>
      <c r="CA61" s="14">
        <f t="shared" si="39"/>
        <v>41.914523809719867</v>
      </c>
      <c r="CB61" s="22">
        <f t="shared" si="10"/>
        <v>359.95980096859495</v>
      </c>
      <c r="CC61" s="62">
        <f t="shared" si="11"/>
        <v>620.07291156728343</v>
      </c>
      <c r="CD61" s="62">
        <f ca="1">AVERAGE(OFFSET($CC$3,0,0,'Données projet'!$E$12+1,1))-AVERAGE(OFFSET($H$3,0,0,'Données projet'!$E$12+1,1))</f>
        <v>325.33012514933523</v>
      </c>
      <c r="CE61" s="62">
        <f t="shared" si="40"/>
        <v>332.38915219929675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2.7745277456806301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1.5410733924460978E-3</v>
      </c>
      <c r="CN61" s="24">
        <f t="shared" si="12"/>
        <v>2.776068819073076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15.7</v>
      </c>
      <c r="N62" s="14">
        <f>IF('Données projet'!$A$36&gt;35,N61+M62-V61,IF(A62&lt;'Données projet'!$A$36,$K$205^A62,IF(A62='Données projet'!$A$36,'Données projet'!$B$36,N61+M62-V61)))</f>
        <v>377.3</v>
      </c>
      <c r="O62" s="14">
        <f>N62*VLOOKUP('Données projet'!$B$9,Paramètres!$A$1:$I$89,3,0)*VLOOKUP('Données projet'!$B$9,Paramètres!$A$1:$I$89,5,0)</f>
        <v>225.62540000000004</v>
      </c>
      <c r="P62" s="14">
        <f t="shared" si="33"/>
        <v>55.335736179321074</v>
      </c>
      <c r="Q62" s="22">
        <f t="shared" si="53"/>
        <v>489.34064551231751</v>
      </c>
      <c r="R62" s="62">
        <f t="shared" si="0"/>
        <v>750.03005270616029</v>
      </c>
      <c r="S62" s="62">
        <f ca="1">AVERAGE(OFFSET($R$3,0,0,'Données projet'!$E$9+1,1))-AVERAGE(OFFSET($H$3,0,0,'Données projet'!$E$9+1,1))</f>
        <v>319.74550658573207</v>
      </c>
      <c r="T62" s="62">
        <f t="shared" si="34"/>
        <v>231.35643408122294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2.1361216706224857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2.7592766780926489E-4</v>
      </c>
      <c r="AC62" s="24">
        <f t="shared" si="3"/>
        <v>2.1363975982902952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254.64144953102331</v>
      </c>
      <c r="AO62" s="62">
        <f t="shared" si="36"/>
        <v>361.41009011468407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0.91140803850431773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1.8267505010333468E-4</v>
      </c>
      <c r="AX62" s="23">
        <f t="shared" si="6"/>
        <v>0.91159071355442112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5.4</v>
      </c>
      <c r="BD62" s="13">
        <f>IF('Données projet'!$A$88&gt;35,BD61+BC62-BL61,IF(A62&lt;'Données projet'!$A$88,$BA$205^A62,IF(A62='Données projet'!$A$88,'Données projet'!$B$88,BD61+BC62-BL61)))</f>
        <v>142.59999999999997</v>
      </c>
      <c r="BE62" s="14">
        <f>BD62*VLOOKUP('Données projet'!$B$11,Paramètres!$A$1:$I$89,3,0)*VLOOKUP('Données projet'!$B$11,Paramètres!$A$1:$I$89,5,0)</f>
        <v>149.04551999999998</v>
      </c>
      <c r="BF62" s="14">
        <f t="shared" si="37"/>
        <v>38.361596095272532</v>
      </c>
      <c r="BG62" s="22">
        <f t="shared" si="7"/>
        <v>326.40072719926627</v>
      </c>
      <c r="BH62" s="62">
        <f t="shared" si="8"/>
        <v>587.09013439310911</v>
      </c>
      <c r="BI62" s="62">
        <f ca="1">AVERAGE(OFFSET($BH$3,0,0,'Données projet'!$E$11+1,1))-AVERAGE(OFFSET($H$3,0,0,'Données projet'!$E$11+1,1))</f>
        <v>352.34406861564418</v>
      </c>
      <c r="BJ62" s="62">
        <f t="shared" si="38"/>
        <v>182.40373266220317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5.2</v>
      </c>
      <c r="BY62" s="13">
        <f>IF('Données projet'!$A$114&gt;35,BY61+BX62-CG61,IF(A62&lt;'Données projet'!$A$114,$BV$205^A62,IF(A62='Données projet'!$A$114,'Données projet'!$B$114,BY61+BX62-CG61)))</f>
        <v>193.7999999999997</v>
      </c>
      <c r="BZ62" s="14">
        <f>BY62*VLOOKUP('Données projet'!$B$12,Paramètres!$A$1:$I$89,3,0)*VLOOKUP('Données projet'!$B$12,Paramètres!$A$1:$I$89,5,0)</f>
        <v>169.30367999999976</v>
      </c>
      <c r="CA62" s="14">
        <f t="shared" si="39"/>
        <v>42.934033834973178</v>
      </c>
      <c r="CB62" s="22">
        <f t="shared" si="10"/>
        <v>369.64735159591118</v>
      </c>
      <c r="CC62" s="62">
        <f t="shared" si="11"/>
        <v>630.33675878975396</v>
      </c>
      <c r="CD62" s="62">
        <f ca="1">AVERAGE(OFFSET($CC$3,0,0,'Données projet'!$E$12+1,1))-AVERAGE(OFFSET($H$3,0,0,'Données projet'!$E$12+1,1))</f>
        <v>325.33012514933523</v>
      </c>
      <c r="CE62" s="62">
        <f t="shared" si="40"/>
        <v>332.38915219929675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2.7201209488826574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1.0897034461047933E-3</v>
      </c>
      <c r="CN62" s="24">
        <f t="shared" si="12"/>
        <v>2.7212106523287622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393</v>
      </c>
      <c r="L63" s="13">
        <f>VLOOKUP(A63,'Données projet'!$A$35:$I$55,9,0)</f>
        <v>15.7</v>
      </c>
      <c r="M63" s="13">
        <f t="array" ref="M63">INDEX(L:L,MIN(IF(ISNUMBER(L63:L259),ROW(L63:L259),"")))</f>
        <v>15.7</v>
      </c>
      <c r="N63" s="14">
        <f>IF('Données projet'!$A$36&gt;35,N62+M63-V62,IF(A63&lt;'Données projet'!$A$36,$K$205^A63,IF(A63='Données projet'!$A$36,'Données projet'!$B$36,N62+M63-V62)))</f>
        <v>393</v>
      </c>
      <c r="O63" s="14">
        <f>N63*VLOOKUP('Données projet'!$B$9,Paramètres!$A$1:$I$89,3,0)*VLOOKUP('Données projet'!$B$9,Paramètres!$A$1:$I$89,5,0)</f>
        <v>235.01400000000001</v>
      </c>
      <c r="P63" s="14">
        <f t="shared" si="33"/>
        <v>57.365461071820548</v>
      </c>
      <c r="Q63" s="22">
        <f t="shared" si="53"/>
        <v>509.22756136675412</v>
      </c>
      <c r="R63" s="62">
        <f t="shared" si="0"/>
        <v>770.48326769823166</v>
      </c>
      <c r="S63" s="62">
        <f ca="1">AVERAGE(OFFSET($R$3,0,0,'Données projet'!$E$9+1,1))-AVERAGE(OFFSET($H$3,0,0,'Données projet'!$E$9+1,1))</f>
        <v>319.74550658573207</v>
      </c>
      <c r="T63" s="62">
        <f t="shared" si="34"/>
        <v>231.35643408122294</v>
      </c>
      <c r="U63" s="16">
        <f>IF(ISNA(VLOOKUP(A63,'Données projet'!$A$35:$I$55,3,0)),0,VLOOKUP(A63,'Données projet'!$A$35:$I$55,3,0))</f>
        <v>6</v>
      </c>
      <c r="V63" s="16">
        <f>IF(ISNA(VLOOKUP(A63,'Données projet'!$A$35:$I$55,4,0)),0,VLOOKUP(A63,'Données projet'!$A$35:$I$55,4,0))</f>
        <v>88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2.0942336275671467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1.9511032502492025E-4</v>
      </c>
      <c r="AC63" s="24">
        <f t="shared" si="3"/>
        <v>2.0944287378921715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254.64144953102331</v>
      </c>
      <c r="AO63" s="62">
        <f t="shared" si="36"/>
        <v>361.41009011468407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0.89353588277326057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1.2917076668166028E-4</v>
      </c>
      <c r="AX63" s="23">
        <f t="shared" si="6"/>
        <v>0.89366505353994219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148</v>
      </c>
      <c r="BB63" s="13">
        <f>VLOOKUP(A63,'Données projet'!$A$87:$I$107,9,0)</f>
        <v>5.4</v>
      </c>
      <c r="BC63" s="13">
        <f t="array" ref="BC63">INDEX(BB:BB,MIN(IF(ISNUMBER(BB63:BB259),ROW(BB63:BB259),"")))</f>
        <v>5.4</v>
      </c>
      <c r="BD63" s="13">
        <f>IF('Données projet'!$A$88&gt;35,BD62+BC63-BL62,IF(A63&lt;'Données projet'!$A$88,$BA$205^A63,IF(A63='Données projet'!$A$88,'Données projet'!$B$88,BD62+BC63-BL62)))</f>
        <v>147.99999999999997</v>
      </c>
      <c r="BE63" s="14">
        <f>BD63*VLOOKUP('Données projet'!$B$11,Paramètres!$A$1:$I$89,3,0)*VLOOKUP('Données projet'!$B$11,Paramètres!$A$1:$I$89,5,0)</f>
        <v>154.68959999999998</v>
      </c>
      <c r="BF63" s="14">
        <f t="shared" si="37"/>
        <v>39.64239708177282</v>
      </c>
      <c r="BG63" s="22">
        <f t="shared" si="7"/>
        <v>338.46156158408763</v>
      </c>
      <c r="BH63" s="62">
        <f t="shared" si="8"/>
        <v>599.71726791556512</v>
      </c>
      <c r="BI63" s="62">
        <f ca="1">AVERAGE(OFFSET($BH$3,0,0,'Données projet'!$E$11+1,1))-AVERAGE(OFFSET($H$3,0,0,'Données projet'!$E$11+1,1))</f>
        <v>352.34406861564418</v>
      </c>
      <c r="BJ63" s="62">
        <f t="shared" si="38"/>
        <v>182.40373266220317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199</v>
      </c>
      <c r="BW63" s="13">
        <f>VLOOKUP(A63,'Données projet'!$A$113:$I$133,9,0)</f>
        <v>5.2</v>
      </c>
      <c r="BX63" s="13">
        <f t="array" ref="BX63">INDEX(BW:BW,MIN(IF(ISNUMBER(BW63:BW259),ROW(BW63:BW259),"")))</f>
        <v>5.2</v>
      </c>
      <c r="BY63" s="13">
        <f>IF('Données projet'!$A$114&gt;35,BY62+BX63-CG62,IF(A63&lt;'Données projet'!$A$114,$BV$205^A63,IF(A63='Données projet'!$A$114,'Données projet'!$B$114,BY62+BX63-CG62)))</f>
        <v>198.99999999999969</v>
      </c>
      <c r="BZ63" s="14">
        <f>BY63*VLOOKUP('Données projet'!$B$12,Paramètres!$A$1:$I$89,3,0)*VLOOKUP('Données projet'!$B$12,Paramètres!$A$1:$I$89,5,0)</f>
        <v>173.84639999999976</v>
      </c>
      <c r="CA63" s="14">
        <f t="shared" si="39"/>
        <v>43.950364270382217</v>
      </c>
      <c r="CB63" s="22">
        <f t="shared" si="10"/>
        <v>379.32936443758189</v>
      </c>
      <c r="CC63" s="62">
        <f t="shared" si="11"/>
        <v>640.58507076905937</v>
      </c>
      <c r="CD63" s="62">
        <f ca="1">AVERAGE(OFFSET($CC$3,0,0,'Données projet'!$E$12+1,1))-AVERAGE(OFFSET($H$3,0,0,'Données projet'!$E$12+1,1))</f>
        <v>325.33012514933523</v>
      </c>
      <c r="CE63" s="62">
        <f t="shared" si="40"/>
        <v>332.38915219929675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19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2.6667810361850237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7.7053669622304888E-4</v>
      </c>
      <c r="CN63" s="24">
        <f t="shared" si="12"/>
        <v>2.6675515728812469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14.3</v>
      </c>
      <c r="N64" s="14">
        <f>IF('Données projet'!$A$36&gt;35,N63+M64-V63,IF(A64&lt;'Données projet'!$A$36,$K$205^A64,IF(A64='Données projet'!$A$36,'Données projet'!$B$36,N63+M64-V63)))</f>
        <v>319.3</v>
      </c>
      <c r="O64" s="14">
        <f>N64*VLOOKUP('Données projet'!$B$9,Paramètres!$A$1:$I$89,3,0)*VLOOKUP('Données projet'!$B$9,Paramètres!$A$1:$I$89,5,0)</f>
        <v>190.94140000000002</v>
      </c>
      <c r="P64" s="14">
        <f t="shared" si="33"/>
        <v>47.748023117802013</v>
      </c>
      <c r="Q64" s="22">
        <f t="shared" si="53"/>
        <v>415.71741193017186</v>
      </c>
      <c r="R64" s="62">
        <f t="shared" si="0"/>
        <v>677.52959337530115</v>
      </c>
      <c r="S64" s="62">
        <f ca="1">AVERAGE(OFFSET($R$3,0,0,'Données projet'!$E$9+1,1))-AVERAGE(OFFSET($H$3,0,0,'Données projet'!$E$9+1,1))</f>
        <v>319.74550658573207</v>
      </c>
      <c r="T64" s="62">
        <f t="shared" si="34"/>
        <v>231.35643408122294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2.0531669834869395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1.3796383390463245E-4</v>
      </c>
      <c r="AC64" s="24">
        <f t="shared" si="3"/>
        <v>2.0533049473208442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254.64144953102331</v>
      </c>
      <c r="AO64" s="62">
        <f t="shared" si="36"/>
        <v>361.41009011468407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0.87601418911515083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9.1337525051667342E-5</v>
      </c>
      <c r="AX64" s="23">
        <f t="shared" si="6"/>
        <v>0.87610552664020247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5.4</v>
      </c>
      <c r="BD64" s="13">
        <f>IF('Données projet'!$A$88&gt;35,BD63+BC64-BL63,IF(A64&lt;'Données projet'!$A$88,$BA$205^A64,IF(A64='Données projet'!$A$88,'Données projet'!$B$88,BD63+BC64-BL63)))</f>
        <v>139.39999999999998</v>
      </c>
      <c r="BE64" s="14">
        <f>BD64*VLOOKUP('Données projet'!$B$11,Paramètres!$A$1:$I$89,3,0)*VLOOKUP('Données projet'!$B$11,Paramètres!$A$1:$I$89,5,0)</f>
        <v>145.70088000000001</v>
      </c>
      <c r="BF64" s="14">
        <f t="shared" si="37"/>
        <v>37.599947846834802</v>
      </c>
      <c r="BG64" s="22">
        <f t="shared" si="7"/>
        <v>319.24894183323727</v>
      </c>
      <c r="BH64" s="62">
        <f t="shared" si="8"/>
        <v>581.06112327836661</v>
      </c>
      <c r="BI64" s="62">
        <f ca="1">AVERAGE(OFFSET($BH$3,0,0,'Données projet'!$E$11+1,1))-AVERAGE(OFFSET($H$3,0,0,'Données projet'!$E$11+1,1))</f>
        <v>352.34406861564418</v>
      </c>
      <c r="BJ64" s="62">
        <f t="shared" si="38"/>
        <v>182.40373266220317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4.5999999999999996</v>
      </c>
      <c r="BY64" s="13">
        <f>IF('Données projet'!$A$114&gt;35,BY63+BX64-CG63,IF(A64&lt;'Données projet'!$A$114,$BV$205^A64,IF(A64='Données projet'!$A$114,'Données projet'!$B$114,BY63+BX64-CG63)))</f>
        <v>184.59999999999968</v>
      </c>
      <c r="BZ64" s="14">
        <f>BY64*VLOOKUP('Données projet'!$B$12,Paramètres!$A$1:$I$89,3,0)*VLOOKUP('Données projet'!$B$12,Paramètres!$A$1:$I$89,5,0)</f>
        <v>161.26655999999974</v>
      </c>
      <c r="CA64" s="14">
        <f t="shared" si="39"/>
        <v>41.128060321982446</v>
      </c>
      <c r="CB64" s="22">
        <f t="shared" si="10"/>
        <v>352.50396372745234</v>
      </c>
      <c r="CC64" s="62">
        <f t="shared" si="11"/>
        <v>614.31614517258163</v>
      </c>
      <c r="CD64" s="62">
        <f ca="1">AVERAGE(OFFSET($CC$3,0,0,'Données projet'!$E$12+1,1))-AVERAGE(OFFSET($H$3,0,0,'Données projet'!$E$12+1,1))</f>
        <v>325.33012514933523</v>
      </c>
      <c r="CE64" s="62">
        <f t="shared" si="40"/>
        <v>332.38915219929675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2.6144870866412564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5.4485172305239666E-4</v>
      </c>
      <c r="CN64" s="24">
        <f t="shared" si="12"/>
        <v>2.6150319383643086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14.3</v>
      </c>
      <c r="N65" s="14">
        <f>IF('Données projet'!$A$36&gt;35,N64+M65-V64,IF(A65&lt;'Données projet'!$A$36,$K$205^A65,IF(A65='Données projet'!$A$36,'Données projet'!$B$36,N64+M65-V64)))</f>
        <v>333.6</v>
      </c>
      <c r="O65" s="14">
        <f>N65*VLOOKUP('Données projet'!$B$9,Paramètres!$A$1:$I$89,3,0)*VLOOKUP('Données projet'!$B$9,Paramètres!$A$1:$I$89,5,0)</f>
        <v>199.49280000000002</v>
      </c>
      <c r="P65" s="14">
        <f t="shared" si="33"/>
        <v>49.632684049228061</v>
      </c>
      <c r="Q65" s="22">
        <f t="shared" si="53"/>
        <v>433.89355138573887</v>
      </c>
      <c r="R65" s="62">
        <f t="shared" si="0"/>
        <v>696.25255434539019</v>
      </c>
      <c r="S65" s="62">
        <f ca="1">AVERAGE(OFFSET($R$3,0,0,'Données projet'!$E$9+1,1))-AVERAGE(OFFSET($H$3,0,0,'Données projet'!$E$9+1,1))</f>
        <v>319.74550658573207</v>
      </c>
      <c r="T65" s="62">
        <f t="shared" si="34"/>
        <v>231.35643408122294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2.0129056312489655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9.7555162512460124E-5</v>
      </c>
      <c r="AC65" s="24">
        <f t="shared" si="3"/>
        <v>2.0130031864114781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254.64144953102331</v>
      </c>
      <c r="AO65" s="62">
        <f t="shared" si="36"/>
        <v>361.41009011468407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0.85883608518249877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6.4585383340830141E-5</v>
      </c>
      <c r="AX65" s="23">
        <f t="shared" si="6"/>
        <v>0.85890067056583963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5.4</v>
      </c>
      <c r="BD65" s="13">
        <f>IF('Données projet'!$A$88&gt;35,BD64+BC65-BL64,IF(A65&lt;'Données projet'!$A$88,$BA$205^A65,IF(A65='Données projet'!$A$88,'Données projet'!$B$88,BD64+BC65-BL64)))</f>
        <v>144.79999999999998</v>
      </c>
      <c r="BE65" s="14">
        <f>BD65*VLOOKUP('Données projet'!$B$11,Paramètres!$A$1:$I$89,3,0)*VLOOKUP('Données projet'!$B$11,Paramètres!$A$1:$I$89,5,0)</f>
        <v>151.34495999999999</v>
      </c>
      <c r="BF65" s="14">
        <f t="shared" si="37"/>
        <v>38.884073636559918</v>
      </c>
      <c r="BG65" s="22">
        <f t="shared" si="7"/>
        <v>331.31556691700854</v>
      </c>
      <c r="BH65" s="62">
        <f t="shared" si="8"/>
        <v>593.67456987665992</v>
      </c>
      <c r="BI65" s="62">
        <f ca="1">AVERAGE(OFFSET($BH$3,0,0,'Données projet'!$E$11+1,1))-AVERAGE(OFFSET($H$3,0,0,'Données projet'!$E$11+1,1))</f>
        <v>352.34406861564418</v>
      </c>
      <c r="BJ65" s="62">
        <f t="shared" si="38"/>
        <v>182.40373266220317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4.5999999999999996</v>
      </c>
      <c r="BY65" s="13">
        <f>IF('Données projet'!$A$114&gt;35,BY64+BX65-CG64,IF(A65&lt;'Données projet'!$A$114,$BV$205^A65,IF(A65='Données projet'!$A$114,'Données projet'!$B$114,BY64+BX65-CG64)))</f>
        <v>189.19999999999968</v>
      </c>
      <c r="BZ65" s="14">
        <f>BY65*VLOOKUP('Données projet'!$B$12,Paramètres!$A$1:$I$89,3,0)*VLOOKUP('Données projet'!$B$12,Paramètres!$A$1:$I$89,5,0)</f>
        <v>165.28511999999975</v>
      </c>
      <c r="CA65" s="14">
        <f t="shared" si="39"/>
        <v>42.0323249466717</v>
      </c>
      <c r="CB65" s="22">
        <f t="shared" si="10"/>
        <v>361.07788328211944</v>
      </c>
      <c r="CC65" s="62">
        <f t="shared" si="11"/>
        <v>623.43688624177071</v>
      </c>
      <c r="CD65" s="62">
        <f ca="1">AVERAGE(OFFSET($CC$3,0,0,'Données projet'!$E$12+1,1))-AVERAGE(OFFSET($H$3,0,0,'Données projet'!$E$12+1,1))</f>
        <v>325.33012514933523</v>
      </c>
      <c r="CE65" s="62">
        <f t="shared" si="40"/>
        <v>332.38915219929675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2.5632185895518829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3.8526834811152444E-4</v>
      </c>
      <c r="CN65" s="24">
        <f t="shared" si="12"/>
        <v>2.5636038578999942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14.3</v>
      </c>
      <c r="N66" s="14">
        <f>IF('Données projet'!$A$36&gt;35,N65+M66-V65,IF(A66&lt;'Données projet'!$A$36,$K$205^A66,IF(A66='Données projet'!$A$36,'Données projet'!$B$36,N65+M66-V65)))</f>
        <v>347.90000000000003</v>
      </c>
      <c r="O66" s="14">
        <f>N66*VLOOKUP('Données projet'!$B$9,Paramètres!$A$1:$I$89,3,0)*VLOOKUP('Données projet'!$B$9,Paramètres!$A$1:$I$89,5,0)</f>
        <v>208.04420000000005</v>
      </c>
      <c r="P66" s="14">
        <f t="shared" si="33"/>
        <v>51.507961722634242</v>
      </c>
      <c r="Q66" s="22">
        <f t="shared" si="53"/>
        <v>452.05334833358802</v>
      </c>
      <c r="R66" s="62">
        <f t="shared" si="0"/>
        <v>714.94968667699413</v>
      </c>
      <c r="S66" s="62">
        <f ca="1">AVERAGE(OFFSET($R$3,0,0,'Données projet'!$E$9+1,1))-AVERAGE(OFFSET($H$3,0,0,'Données projet'!$E$9+1,1))</f>
        <v>319.74550658573207</v>
      </c>
      <c r="T66" s="62">
        <f t="shared" si="34"/>
        <v>231.35643408122294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1.9734337795713779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6.8981916952316223E-5</v>
      </c>
      <c r="AC66" s="24">
        <f t="shared" si="3"/>
        <v>1.9735027614883303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254.64144953102331</v>
      </c>
      <c r="AO66" s="62">
        <f t="shared" si="36"/>
        <v>361.41009011468407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0.84199483339035719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4.5668762525833671E-5</v>
      </c>
      <c r="AX66" s="23">
        <f t="shared" si="6"/>
        <v>0.84204050215288306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5.4</v>
      </c>
      <c r="BD66" s="13">
        <f>IF('Données projet'!$A$88&gt;35,BD65+BC66-BL65,IF(A66&lt;'Données projet'!$A$88,$BA$205^A66,IF(A66='Données projet'!$A$88,'Données projet'!$B$88,BD65+BC66-BL65)))</f>
        <v>150.19999999999999</v>
      </c>
      <c r="BE66" s="14">
        <f>BD66*VLOOKUP('Données projet'!$B$11,Paramètres!$A$1:$I$89,3,0)*VLOOKUP('Données projet'!$B$11,Paramètres!$A$1:$I$89,5,0)</f>
        <v>156.98904000000002</v>
      </c>
      <c r="BF66" s="14">
        <f t="shared" si="37"/>
        <v>40.16263590416321</v>
      </c>
      <c r="BG66" s="22">
        <f t="shared" si="7"/>
        <v>343.37250219975095</v>
      </c>
      <c r="BH66" s="62">
        <f t="shared" si="8"/>
        <v>606.26884054315701</v>
      </c>
      <c r="BI66" s="62">
        <f ca="1">AVERAGE(OFFSET($BH$3,0,0,'Données projet'!$E$11+1,1))-AVERAGE(OFFSET($H$3,0,0,'Données projet'!$E$11+1,1))</f>
        <v>352.34406861564418</v>
      </c>
      <c r="BJ66" s="62">
        <f t="shared" si="38"/>
        <v>182.40373266220317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4.5999999999999996</v>
      </c>
      <c r="BY66" s="13">
        <f>IF('Données projet'!$A$114&gt;35,BY65+BX66-CG65,IF(A66&lt;'Données projet'!$A$114,$BV$205^A66,IF(A66='Données projet'!$A$114,'Données projet'!$B$114,BY65+BX66-CG65)))</f>
        <v>193.79999999999967</v>
      </c>
      <c r="BZ66" s="14">
        <f>BY66*VLOOKUP('Données projet'!$B$12,Paramètres!$A$1:$I$89,3,0)*VLOOKUP('Données projet'!$B$12,Paramètres!$A$1:$I$89,5,0)</f>
        <v>169.30367999999973</v>
      </c>
      <c r="CA66" s="14">
        <f t="shared" si="39"/>
        <v>42.934033834973178</v>
      </c>
      <c r="CB66" s="22">
        <f t="shared" si="10"/>
        <v>369.64735159591118</v>
      </c>
      <c r="CC66" s="62">
        <f t="shared" si="11"/>
        <v>632.54368993931735</v>
      </c>
      <c r="CD66" s="62">
        <f ca="1">AVERAGE(OFFSET($CC$3,0,0,'Données projet'!$E$12+1,1))-AVERAGE(OFFSET($H$3,0,0,'Données projet'!$E$12+1,1))</f>
        <v>325.33012514933523</v>
      </c>
      <c r="CE66" s="62">
        <f t="shared" si="40"/>
        <v>332.38915219929675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2.5129554364197362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2.7242586152619833E-4</v>
      </c>
      <c r="CN66" s="24">
        <f t="shared" si="12"/>
        <v>2.5132278622812625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14.3</v>
      </c>
      <c r="N67" s="14">
        <f>IF('Données projet'!$A$36&gt;35,N66+M67-V66,IF(A67&lt;'Données projet'!$A$36,$K$205^A67,IF(A67='Données projet'!$A$36,'Données projet'!$B$36,N66+M67-V66)))</f>
        <v>362.20000000000005</v>
      </c>
      <c r="O67" s="14">
        <f>N67*VLOOKUP('Données projet'!$B$9,Paramètres!$A$1:$I$89,3,0)*VLOOKUP('Données projet'!$B$9,Paramètres!$A$1:$I$89,5,0)</f>
        <v>216.59560000000005</v>
      </c>
      <c r="P67" s="14">
        <f t="shared" si="33"/>
        <v>53.374285937607603</v>
      </c>
      <c r="Q67" s="22">
        <f t="shared" ref="Q67:Q98" si="54">(O67+P67)*0.475*44/12</f>
        <v>470.19755134133334</v>
      </c>
      <c r="R67" s="62">
        <f t="shared" ref="R67:R130" si="55">Q67+(I67+J67)*44/12</f>
        <v>733.62190350088804</v>
      </c>
      <c r="S67" s="62">
        <f ca="1">AVERAGE(OFFSET($R$3,0,0,'Données projet'!$E$9+1,1))-AVERAGE(OFFSET($H$3,0,0,'Données projet'!$E$9+1,1))</f>
        <v>319.74550658573207</v>
      </c>
      <c r="T67" s="62">
        <f t="shared" si="34"/>
        <v>231.35643408122294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1.9347359468297356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4.8777581256230062E-5</v>
      </c>
      <c r="AC67" s="24">
        <f t="shared" si="3"/>
        <v>1.9347847244109919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254.64144953102331</v>
      </c>
      <c r="AO67" s="62">
        <f t="shared" si="36"/>
        <v>361.41009011468407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0.82548382827371025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3.229269167041507E-5</v>
      </c>
      <c r="AX67" s="23">
        <f t="shared" si="6"/>
        <v>0.82551612096538063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5.4</v>
      </c>
      <c r="BD67" s="13">
        <f>IF('Données projet'!$A$88&gt;35,BD66+BC67-BL66,IF(A67&lt;'Données projet'!$A$88,$BA$205^A67,IF(A67='Données projet'!$A$88,'Données projet'!$B$88,BD66+BC67-BL66)))</f>
        <v>155.6</v>
      </c>
      <c r="BE67" s="14">
        <f>BD67*VLOOKUP('Données projet'!$B$11,Paramètres!$A$1:$I$89,3,0)*VLOOKUP('Données projet'!$B$11,Paramètres!$A$1:$I$89,5,0)</f>
        <v>162.63311999999999</v>
      </c>
      <c r="BF67" s="14">
        <f t="shared" si="37"/>
        <v>41.435857583171057</v>
      </c>
      <c r="BG67" s="22">
        <f t="shared" si="7"/>
        <v>355.42013595735619</v>
      </c>
      <c r="BH67" s="62">
        <f t="shared" si="8"/>
        <v>618.84448811691095</v>
      </c>
      <c r="BI67" s="62">
        <f ca="1">AVERAGE(OFFSET($BH$3,0,0,'Données projet'!$E$11+1,1))-AVERAGE(OFFSET($H$3,0,0,'Données projet'!$E$11+1,1))</f>
        <v>352.34406861564418</v>
      </c>
      <c r="BJ67" s="62">
        <f t="shared" si="38"/>
        <v>182.40373266220317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4.5999999999999996</v>
      </c>
      <c r="BY67" s="13">
        <f>IF('Données projet'!$A$114&gt;35,BY66+BX67-CG66,IF(A67&lt;'Données projet'!$A$114,$BV$205^A67,IF(A67='Données projet'!$A$114,'Données projet'!$B$114,BY66+BX67-CG66)))</f>
        <v>198.39999999999966</v>
      </c>
      <c r="BZ67" s="14">
        <f>BY67*VLOOKUP('Données projet'!$B$12,Paramètres!$A$1:$I$89,3,0)*VLOOKUP('Données projet'!$B$12,Paramètres!$A$1:$I$89,5,0)</f>
        <v>173.32223999999974</v>
      </c>
      <c r="CA67" s="14">
        <f t="shared" si="39"/>
        <v>43.833254629845044</v>
      </c>
      <c r="CB67" s="22">
        <f t="shared" si="10"/>
        <v>378.21248648031298</v>
      </c>
      <c r="CC67" s="62">
        <f t="shared" si="11"/>
        <v>641.63683863986773</v>
      </c>
      <c r="CD67" s="62">
        <f ca="1">AVERAGE(OFFSET($CC$3,0,0,'Données projet'!$E$12+1,1))-AVERAGE(OFFSET($H$3,0,0,'Données projet'!$E$12+1,1))</f>
        <v>325.33012514933523</v>
      </c>
      <c r="CE67" s="62">
        <f t="shared" si="40"/>
        <v>332.38915219929675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2.4636779130630146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1.9263417405576222E-4</v>
      </c>
      <c r="CN67" s="24">
        <f t="shared" si="12"/>
        <v>2.4638705472370703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14.3</v>
      </c>
      <c r="N68" s="14">
        <f>IF('Données projet'!$A$36&gt;35,N67+M68-V67,IF(A68&lt;'Données projet'!$A$36,$K$205^A68,IF(A68='Données projet'!$A$36,'Données projet'!$B$36,N67+M68-V67)))</f>
        <v>376.50000000000006</v>
      </c>
      <c r="O68" s="14">
        <f>N68*VLOOKUP('Données projet'!$B$9,Paramètres!$A$1:$I$89,3,0)*VLOOKUP('Données projet'!$B$9,Paramètres!$A$1:$I$89,5,0)</f>
        <v>225.14700000000005</v>
      </c>
      <c r="P68" s="14">
        <f t="shared" si="33"/>
        <v>55.232050634645063</v>
      </c>
      <c r="Q68" s="22">
        <f t="shared" si="54"/>
        <v>488.32684652200686</v>
      </c>
      <c r="R68" s="62">
        <f t="shared" si="55"/>
        <v>752.27005263846206</v>
      </c>
      <c r="S68" s="62">
        <f ca="1">AVERAGE(OFFSET($R$3,0,0,'Données projet'!$E$9+1,1))-AVERAGE(OFFSET($H$3,0,0,'Données projet'!$E$9+1,1))</f>
        <v>319.74550658573207</v>
      </c>
      <c r="T68" s="62">
        <f t="shared" si="34"/>
        <v>231.35643408122294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1.8967969549848096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3.4490958476158112E-5</v>
      </c>
      <c r="AC68" s="24">
        <f t="shared" ref="AC68:AC131" si="57">SUM(Z68:AB68)</f>
        <v>1.8968314459432858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254.64144953102331</v>
      </c>
      <c r="AO68" s="62">
        <f t="shared" si="36"/>
        <v>361.41009011468407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0.80929659389668196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2.2834381262916836E-5</v>
      </c>
      <c r="AX68" s="23">
        <f t="shared" ref="AX68:AX131" si="60">SUM(AU68:AW68)</f>
        <v>0.8093194282779449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161</v>
      </c>
      <c r="BB68" s="13">
        <f>VLOOKUP(A68,'Données projet'!$A$87:$I$107,9,0)</f>
        <v>5.4</v>
      </c>
      <c r="BC68" s="13">
        <f t="array" ref="BC68">INDEX(BB:BB,MIN(IF(ISNUMBER(BB68:BB264),ROW(BB68:BB264),"")))</f>
        <v>5.4</v>
      </c>
      <c r="BD68" s="13">
        <f>IF('Données projet'!$A$88&gt;35,BD67+BC68-BL67,IF(A68&lt;'Données projet'!$A$88,$BA$205^A68,IF(A68='Données projet'!$A$88,'Données projet'!$B$88,BD67+BC68-BL67)))</f>
        <v>161</v>
      </c>
      <c r="BE68" s="14">
        <f>BD68*VLOOKUP('Données projet'!$B$11,Paramètres!$A$1:$I$89,3,0)*VLOOKUP('Données projet'!$B$11,Paramètres!$A$1:$I$89,5,0)</f>
        <v>168.27720000000002</v>
      </c>
      <c r="BF68" s="14">
        <f t="shared" si="37"/>
        <v>42.703945256047824</v>
      </c>
      <c r="BG68" s="22">
        <f t="shared" ref="BG68:BG131" si="61">(BE68+BF68)*0.475*44/12</f>
        <v>367.45882798761664</v>
      </c>
      <c r="BH68" s="62">
        <f t="shared" ref="BH68:BH131" si="62">BG68+(AY68+AZ68)*44/12</f>
        <v>631.40203410407184</v>
      </c>
      <c r="BI68" s="62">
        <f ca="1">AVERAGE(OFFSET($BH$3,0,0,'Données projet'!$E$11+1,1))-AVERAGE(OFFSET($H$3,0,0,'Données projet'!$E$11+1,1))</f>
        <v>352.34406861564418</v>
      </c>
      <c r="BJ68" s="62">
        <f t="shared" si="38"/>
        <v>182.40373266220317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203</v>
      </c>
      <c r="BW68" s="13">
        <f>VLOOKUP(A68,'Données projet'!$A$113:$I$133,9,0)</f>
        <v>4.5999999999999996</v>
      </c>
      <c r="BX68" s="13">
        <f t="array" ref="BX68">INDEX(BW:BW,MIN(IF(ISNUMBER(BW68:BW264),ROW(BW68:BW264),"")))</f>
        <v>4.5999999999999996</v>
      </c>
      <c r="BY68" s="13">
        <f>IF('Données projet'!$A$114&gt;35,BY67+BX68-CG67,IF(A68&lt;'Données projet'!$A$114,$BV$205^A68,IF(A68='Données projet'!$A$114,'Données projet'!$B$114,BY67+BX68-CG67)))</f>
        <v>202.99999999999966</v>
      </c>
      <c r="BZ68" s="14">
        <f>BY68*VLOOKUP('Données projet'!$B$12,Paramètres!$A$1:$I$89,3,0)*VLOOKUP('Données projet'!$B$12,Paramètres!$A$1:$I$89,5,0)</f>
        <v>177.34079999999972</v>
      </c>
      <c r="CA68" s="14">
        <f t="shared" si="39"/>
        <v>44.730051658603024</v>
      </c>
      <c r="CB68" s="22">
        <f t="shared" ref="CB68:CB131" si="64">(BZ68+CA68)*0.475*44/12</f>
        <v>386.77339997206644</v>
      </c>
      <c r="CC68" s="62">
        <f t="shared" ref="CC68:CC131" si="65">CB68+(BT68+BU68)*44/12</f>
        <v>650.71660608852164</v>
      </c>
      <c r="CD68" s="62">
        <f ca="1">AVERAGE(OFFSET($CC$3,0,0,'Données projet'!$E$12+1,1))-AVERAGE(OFFSET($H$3,0,0,'Données projet'!$E$12+1,1))</f>
        <v>325.33012514933523</v>
      </c>
      <c r="CE68" s="62">
        <f t="shared" si="40"/>
        <v>332.38915219929675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17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2.4153666918829972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1.3621293076309917E-4</v>
      </c>
      <c r="CN68" s="24">
        <f t="shared" ref="CN68:CN131" si="66">SUM(CK68:CM68)</f>
        <v>2.4155029048137604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14.3</v>
      </c>
      <c r="N69" s="14">
        <f>IF('Données projet'!$A$36&gt;35,N68+M69-V68,IF(A69&lt;'Données projet'!$A$36,$K$205^A69,IF(A69='Données projet'!$A$36,'Données projet'!$B$36,N68+M69-V68)))</f>
        <v>390.80000000000007</v>
      </c>
      <c r="O69" s="14">
        <f>N69*VLOOKUP('Données projet'!$B$9,Paramètres!$A$1:$I$89,3,0)*VLOOKUP('Données projet'!$B$9,Paramètres!$A$1:$I$89,5,0)</f>
        <v>233.69840000000005</v>
      </c>
      <c r="P69" s="14">
        <f t="shared" ref="P69:P132" si="87">EXP(-1.0587+0.8836*LN(O69)+0.284)</f>
        <v>57.081618134454175</v>
      </c>
      <c r="Q69" s="22">
        <f t="shared" si="54"/>
        <v>506.44186491750776</v>
      </c>
      <c r="R69" s="62">
        <f t="shared" si="55"/>
        <v>770.8949240346949</v>
      </c>
      <c r="S69" s="62">
        <f ca="1">AVERAGE(OFFSET($R$3,0,0,'Données projet'!$E$9+1,1))-AVERAGE(OFFSET($H$3,0,0,'Données projet'!$E$9+1,1))</f>
        <v>319.74550658573207</v>
      </c>
      <c r="T69" s="62">
        <f t="shared" ref="T69:T132" si="88">$T$3</f>
        <v>231.35643408122294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1.8596019236294625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2.4388790628115031E-5</v>
      </c>
      <c r="AC69" s="24">
        <f t="shared" si="57"/>
        <v>1.8596263124200907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254.64144953102331</v>
      </c>
      <c r="AO69" s="62">
        <f t="shared" ref="AO69:AO132" si="90">$AO$3</f>
        <v>361.41009011468407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0.79342678131254918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1.6146345835207535E-5</v>
      </c>
      <c r="AX69" s="23">
        <f t="shared" si="60"/>
        <v>0.79344292765838442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</v>
      </c>
      <c r="BD69" s="13">
        <f>IF('Données projet'!$A$88&gt;35,BD68+BC69-BL68,IF(A69&lt;'Données projet'!$A$88,$BA$205^A69,IF(A69='Données projet'!$A$88,'Données projet'!$B$88,BD68+BC69-BL68)))</f>
        <v>152</v>
      </c>
      <c r="BE69" s="14">
        <f>BD69*VLOOKUP('Données projet'!$B$11,Paramètres!$A$1:$I$89,3,0)*VLOOKUP('Données projet'!$B$11,Paramètres!$A$1:$I$89,5,0)</f>
        <v>158.87040000000002</v>
      </c>
      <c r="BF69" s="14">
        <f t="shared" ref="BF69:BF132" si="91">EXP(-1.0587+0.8836*LN(BE69)+0.284)</f>
        <v>40.587626008643227</v>
      </c>
      <c r="BG69" s="22">
        <f t="shared" si="61"/>
        <v>347.38939529838694</v>
      </c>
      <c r="BH69" s="62">
        <f t="shared" si="62"/>
        <v>611.84245441557403</v>
      </c>
      <c r="BI69" s="62">
        <f ca="1">AVERAGE(OFFSET($BH$3,0,0,'Données projet'!$E$11+1,1))-AVERAGE(OFFSET($H$3,0,0,'Données projet'!$E$11+1,1))</f>
        <v>352.34406861564418</v>
      </c>
      <c r="BJ69" s="62">
        <f t="shared" ref="BJ69:BJ132" si="92">$BJ$3</f>
        <v>182.40373266220317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</v>
      </c>
      <c r="BY69" s="13">
        <f>IF('Données projet'!$A$114&gt;35,BY68+BX69-CG68,IF(A69&lt;'Données projet'!$A$114,$BV$205^A69,IF(A69='Données projet'!$A$114,'Données projet'!$B$114,BY68+BX69-CG68)))</f>
        <v>189.99999999999966</v>
      </c>
      <c r="BZ69" s="14">
        <f>BY69*VLOOKUP('Données projet'!$B$12,Paramètres!$A$1:$I$89,3,0)*VLOOKUP('Données projet'!$B$12,Paramètres!$A$1:$I$89,5,0)</f>
        <v>165.98399999999972</v>
      </c>
      <c r="CA69" s="14">
        <f t="shared" ref="CA69:CA132" si="93">EXP(-1.0587+0.8836*LN(BZ69)+0.284)</f>
        <v>42.189325525922207</v>
      </c>
      <c r="CB69" s="22">
        <f t="shared" si="64"/>
        <v>362.56854195764731</v>
      </c>
      <c r="CC69" s="62">
        <f t="shared" si="65"/>
        <v>627.02160107483439</v>
      </c>
      <c r="CD69" s="62">
        <f ca="1">AVERAGE(OFFSET($CC$3,0,0,'Données projet'!$E$12+1,1))-AVERAGE(OFFSET($H$3,0,0,'Données projet'!$E$12+1,1))</f>
        <v>325.33012514933523</v>
      </c>
      <c r="CE69" s="62">
        <f t="shared" ref="CE69:CE132" si="94">$CE$3</f>
        <v>332.38915219929675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2.3680028242833844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9.631708702788111E-5</v>
      </c>
      <c r="CN69" s="24">
        <f t="shared" si="66"/>
        <v>2.3680991413704122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14.3</v>
      </c>
      <c r="N70" s="14">
        <f>IF('Données projet'!$A$36&gt;35,N69+M70-V69,IF(A70&lt;'Données projet'!$A$36,$K$205^A70,IF(A70='Données projet'!$A$36,'Données projet'!$B$36,N69+M70-V69)))</f>
        <v>405.10000000000008</v>
      </c>
      <c r="O70" s="14">
        <f>N70*VLOOKUP('Données projet'!$B$9,Paramètres!$A$1:$I$89,3,0)*VLOOKUP('Données projet'!$B$9,Paramètres!$A$1:$I$89,5,0)</f>
        <v>242.24980000000005</v>
      </c>
      <c r="P70" s="14">
        <f t="shared" si="87"/>
        <v>58.923322739321947</v>
      </c>
      <c r="Q70" s="22">
        <f t="shared" si="54"/>
        <v>524.54318877098581</v>
      </c>
      <c r="R70" s="62">
        <f t="shared" si="55"/>
        <v>789.49725607920277</v>
      </c>
      <c r="S70" s="62">
        <f ca="1">AVERAGE(OFFSET($R$3,0,0,'Données projet'!$E$9+1,1))-AVERAGE(OFFSET($H$3,0,0,'Données projet'!$E$9+1,1))</f>
        <v>319.74550658573207</v>
      </c>
      <c r="T70" s="62">
        <f t="shared" si="88"/>
        <v>231.35643408122294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1.8231362641522648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1.7245479238079056E-5</v>
      </c>
      <c r="AC70" s="24">
        <f t="shared" si="57"/>
        <v>1.8231535096315028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254.64144953102331</v>
      </c>
      <c r="AO70" s="62">
        <f t="shared" si="90"/>
        <v>361.41009011468407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0.77786816607356135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1.1417190631458418E-5</v>
      </c>
      <c r="AX70" s="23">
        <f t="shared" si="60"/>
        <v>0.77787958326419282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</v>
      </c>
      <c r="BD70" s="13">
        <f>IF('Données projet'!$A$88&gt;35,BD69+BC70-BL69,IF(A70&lt;'Données projet'!$A$88,$BA$205^A70,IF(A70='Données projet'!$A$88,'Données projet'!$B$88,BD69+BC70-BL69)))</f>
        <v>157</v>
      </c>
      <c r="BE70" s="14">
        <f>BD70*VLOOKUP('Données projet'!$B$11,Paramètres!$A$1:$I$89,3,0)*VLOOKUP('Données projet'!$B$11,Paramètres!$A$1:$I$89,5,0)</f>
        <v>164.09640000000002</v>
      </c>
      <c r="BF70" s="14">
        <f t="shared" si="91"/>
        <v>41.765106050628262</v>
      </c>
      <c r="BG70" s="22">
        <f t="shared" si="61"/>
        <v>358.54212303817758</v>
      </c>
      <c r="BH70" s="62">
        <f t="shared" si="62"/>
        <v>623.49619034639454</v>
      </c>
      <c r="BI70" s="62">
        <f ca="1">AVERAGE(OFFSET($BH$3,0,0,'Données projet'!$E$11+1,1))-AVERAGE(OFFSET($H$3,0,0,'Données projet'!$E$11+1,1))</f>
        <v>352.34406861564418</v>
      </c>
      <c r="BJ70" s="62">
        <f t="shared" si="92"/>
        <v>182.40373266220317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</v>
      </c>
      <c r="BY70" s="13">
        <f>IF('Données projet'!$A$114&gt;35,BY69+BX70-CG69,IF(A70&lt;'Données projet'!$A$114,$BV$205^A70,IF(A70='Données projet'!$A$114,'Données projet'!$B$114,BY69+BX70-CG69)))</f>
        <v>193.99999999999966</v>
      </c>
      <c r="BZ70" s="14">
        <f>BY70*VLOOKUP('Données projet'!$B$12,Paramètres!$A$1:$I$89,3,0)*VLOOKUP('Données projet'!$B$12,Paramètres!$A$1:$I$89,5,0)</f>
        <v>169.47839999999971</v>
      </c>
      <c r="CA70" s="14">
        <f t="shared" si="93"/>
        <v>42.973181651930219</v>
      </c>
      <c r="CB70" s="22">
        <f t="shared" si="64"/>
        <v>370.01983804377795</v>
      </c>
      <c r="CC70" s="62">
        <f t="shared" si="65"/>
        <v>634.97390535199486</v>
      </c>
      <c r="CD70" s="62">
        <f ca="1">AVERAGE(OFFSET($CC$3,0,0,'Données projet'!$E$12+1,1))-AVERAGE(OFFSET($H$3,0,0,'Données projet'!$E$12+1,1))</f>
        <v>325.33012514933523</v>
      </c>
      <c r="CE70" s="62">
        <f t="shared" si="94"/>
        <v>332.38915219929675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2.3215677332382936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6.8106465381549583E-5</v>
      </c>
      <c r="CN70" s="24">
        <f t="shared" si="66"/>
        <v>2.3216358397036752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14.3</v>
      </c>
      <c r="N71" s="14">
        <f>IF('Données projet'!$A$36&gt;35,N70+M71-V70,IF(A71&lt;'Données projet'!$A$36,$K$205^A71,IF(A71='Données projet'!$A$36,'Données projet'!$B$36,N70+M71-V70)))</f>
        <v>419.40000000000009</v>
      </c>
      <c r="O71" s="14">
        <f>N71*VLOOKUP('Données projet'!$B$9,Paramètres!$A$1:$I$89,3,0)*VLOOKUP('Données projet'!$B$9,Paramètres!$A$1:$I$89,5,0)</f>
        <v>250.80120000000008</v>
      </c>
      <c r="P71" s="14">
        <f t="shared" si="87"/>
        <v>60.757473811682686</v>
      </c>
      <c r="Q71" s="22">
        <f t="shared" si="54"/>
        <v>542.63135688868078</v>
      </c>
      <c r="R71" s="62">
        <f t="shared" si="55"/>
        <v>808.07774101589962</v>
      </c>
      <c r="S71" s="62">
        <f ca="1">AVERAGE(OFFSET($R$3,0,0,'Données projet'!$E$9+1,1))-AVERAGE(OFFSET($H$3,0,0,'Données projet'!$E$9+1,1))</f>
        <v>319.74550658573207</v>
      </c>
      <c r="T71" s="62">
        <f t="shared" si="88"/>
        <v>231.35643408122294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1.7873856740155589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1.2194395314057515E-5</v>
      </c>
      <c r="AC71" s="24">
        <f t="shared" si="57"/>
        <v>1.7873978684108729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254.64144953102331</v>
      </c>
      <c r="AO71" s="62">
        <f t="shared" si="90"/>
        <v>361.41009011468407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0.76261464578959182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8.0731729176037676E-6</v>
      </c>
      <c r="AX71" s="23">
        <f t="shared" si="60"/>
        <v>0.76262271896250944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</v>
      </c>
      <c r="BD71" s="13">
        <f>IF('Données projet'!$A$88&gt;35,BD70+BC71-BL70,IF(A71&lt;'Données projet'!$A$88,$BA$205^A71,IF(A71='Données projet'!$A$88,'Données projet'!$B$88,BD70+BC71-BL70)))</f>
        <v>162</v>
      </c>
      <c r="BE71" s="14">
        <f>BD71*VLOOKUP('Données projet'!$B$11,Paramètres!$A$1:$I$89,3,0)*VLOOKUP('Données projet'!$B$11,Paramètres!$A$1:$I$89,5,0)</f>
        <v>169.32240000000002</v>
      </c>
      <c r="BF71" s="14">
        <f t="shared" si="91"/>
        <v>42.938228468783223</v>
      </c>
      <c r="BG71" s="22">
        <f t="shared" si="61"/>
        <v>369.68726124979747</v>
      </c>
      <c r="BH71" s="62">
        <f t="shared" si="62"/>
        <v>635.13364537701636</v>
      </c>
      <c r="BI71" s="62">
        <f ca="1">AVERAGE(OFFSET($BH$3,0,0,'Données projet'!$E$11+1,1))-AVERAGE(OFFSET($H$3,0,0,'Données projet'!$E$11+1,1))</f>
        <v>352.34406861564418</v>
      </c>
      <c r="BJ71" s="62">
        <f t="shared" si="92"/>
        <v>182.40373266220317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</v>
      </c>
      <c r="BY71" s="13">
        <f>IF('Données projet'!$A$114&gt;35,BY70+BX71-CG70,IF(A71&lt;'Données projet'!$A$114,$BV$205^A71,IF(A71='Données projet'!$A$114,'Données projet'!$B$114,BY70+BX71-CG70)))</f>
        <v>197.99999999999966</v>
      </c>
      <c r="BZ71" s="14">
        <f>BY71*VLOOKUP('Données projet'!$B$12,Paramètres!$A$1:$I$89,3,0)*VLOOKUP('Données projet'!$B$12,Paramètres!$A$1:$I$89,5,0)</f>
        <v>172.97279999999972</v>
      </c>
      <c r="CA71" s="14">
        <f t="shared" si="93"/>
        <v>43.755158638197209</v>
      </c>
      <c r="CB71" s="22">
        <f t="shared" si="64"/>
        <v>377.46786129485963</v>
      </c>
      <c r="CC71" s="62">
        <f t="shared" si="65"/>
        <v>642.91424542207847</v>
      </c>
      <c r="CD71" s="62">
        <f ca="1">AVERAGE(OFFSET($CC$3,0,0,'Données projet'!$E$12+1,1))-AVERAGE(OFFSET($H$3,0,0,'Données projet'!$E$12+1,1))</f>
        <v>325.33012514933523</v>
      </c>
      <c r="CE71" s="62">
        <f t="shared" si="94"/>
        <v>332.38915219929675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2.2760432060059879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4.8158543513940555E-5</v>
      </c>
      <c r="CN71" s="24">
        <f t="shared" si="66"/>
        <v>2.2760913645495018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14.3</v>
      </c>
      <c r="N72" s="14">
        <f>IF('Données projet'!$A$36&gt;35,N71+M72-V71,IF(A72&lt;'Données projet'!$A$36,$K$205^A72,IF(A72='Données projet'!$A$36,'Données projet'!$B$36,N71+M72-V71)))</f>
        <v>433.7000000000001</v>
      </c>
      <c r="O72" s="14">
        <f>N72*VLOOKUP('Données projet'!$B$9,Paramètres!$A$1:$I$89,3,0)*VLOOKUP('Données projet'!$B$9,Paramètres!$A$1:$I$89,5,0)</f>
        <v>259.35260000000011</v>
      </c>
      <c r="P72" s="14">
        <f t="shared" si="87"/>
        <v>62.58435842101963</v>
      </c>
      <c r="Q72" s="22">
        <f t="shared" si="54"/>
        <v>560.70686924994277</v>
      </c>
      <c r="R72" s="62">
        <f t="shared" si="55"/>
        <v>826.63702960000933</v>
      </c>
      <c r="S72" s="62">
        <f ca="1">AVERAGE(OFFSET($R$3,0,0,'Données projet'!$E$9+1,1))-AVERAGE(OFFSET($H$3,0,0,'Données projet'!$E$9+1,1))</f>
        <v>319.74550658573207</v>
      </c>
      <c r="T72" s="62">
        <f t="shared" si="88"/>
        <v>231.35643408122294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1.7523361311457268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8.6227396190395279E-6</v>
      </c>
      <c r="AC72" s="24">
        <f t="shared" si="57"/>
        <v>1.7523447538853458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254.64144953102331</v>
      </c>
      <c r="AO72" s="62">
        <f t="shared" si="90"/>
        <v>361.41009011468407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0.74766023773466217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5.7085953157292089E-6</v>
      </c>
      <c r="AX72" s="23">
        <f t="shared" si="60"/>
        <v>0.74766594632997785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</v>
      </c>
      <c r="BD72" s="13">
        <f>IF('Données projet'!$A$88&gt;35,BD71+BC72-BL71,IF(A72&lt;'Données projet'!$A$88,$BA$205^A72,IF(A72='Données projet'!$A$88,'Données projet'!$B$88,BD71+BC72-BL71)))</f>
        <v>167</v>
      </c>
      <c r="BE72" s="14">
        <f>BD72*VLOOKUP('Données projet'!$B$11,Paramètres!$A$1:$I$89,3,0)*VLOOKUP('Données projet'!$B$11,Paramètres!$A$1:$I$89,5,0)</f>
        <v>174.54840000000002</v>
      </c>
      <c r="BF72" s="14">
        <f t="shared" si="91"/>
        <v>44.107143191738089</v>
      </c>
      <c r="BG72" s="22">
        <f t="shared" si="61"/>
        <v>380.82507105894382</v>
      </c>
      <c r="BH72" s="62">
        <f t="shared" si="62"/>
        <v>646.75523140901032</v>
      </c>
      <c r="BI72" s="62">
        <f ca="1">AVERAGE(OFFSET($BH$3,0,0,'Données projet'!$E$11+1,1))-AVERAGE(OFFSET($H$3,0,0,'Données projet'!$E$11+1,1))</f>
        <v>352.34406861564418</v>
      </c>
      <c r="BJ72" s="62">
        <f t="shared" si="92"/>
        <v>182.40373266220317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</v>
      </c>
      <c r="BY72" s="13">
        <f>IF('Données projet'!$A$114&gt;35,BY71+BX72-CG71,IF(A72&lt;'Données projet'!$A$114,$BV$205^A72,IF(A72='Données projet'!$A$114,'Données projet'!$B$114,BY71+BX72-CG71)))</f>
        <v>201.99999999999966</v>
      </c>
      <c r="BZ72" s="14">
        <f>BY72*VLOOKUP('Données projet'!$B$12,Paramètres!$A$1:$I$89,3,0)*VLOOKUP('Données projet'!$B$12,Paramètres!$A$1:$I$89,5,0)</f>
        <v>176.46719999999974</v>
      </c>
      <c r="CA72" s="14">
        <f t="shared" si="93"/>
        <v>44.53529882198935</v>
      </c>
      <c r="CB72" s="22">
        <f t="shared" si="64"/>
        <v>384.91268544829768</v>
      </c>
      <c r="CC72" s="62">
        <f t="shared" si="65"/>
        <v>650.84284579836424</v>
      </c>
      <c r="CD72" s="62">
        <f ca="1">AVERAGE(OFFSET($CC$3,0,0,'Données projet'!$E$12+1,1))-AVERAGE(OFFSET($H$3,0,0,'Données projet'!$E$12+1,1))</f>
        <v>325.33012514933523</v>
      </c>
      <c r="CE72" s="62">
        <f t="shared" si="94"/>
        <v>332.38915219929675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2.2314113869854877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3.4053232690774791E-5</v>
      </c>
      <c r="CN72" s="24">
        <f t="shared" si="66"/>
        <v>2.2314454402181783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448</v>
      </c>
      <c r="L73" s="13">
        <f>VLOOKUP(A73,'Données projet'!$A$35:$I$55,9,0)</f>
        <v>14.3</v>
      </c>
      <c r="M73" s="13">
        <f t="array" ref="M73">INDEX(L:L,MIN(IF(ISNUMBER(L73:L269),ROW(L73:L269),"")))</f>
        <v>14.3</v>
      </c>
      <c r="N73" s="14">
        <f>IF('Données projet'!$A$36&gt;35,N72+M73-V72,IF(A73&lt;'Données projet'!$A$36,$K$205^A73,IF(A73='Données projet'!$A$36,'Données projet'!$B$36,N72+M73-V72)))</f>
        <v>448.00000000000011</v>
      </c>
      <c r="O73" s="14">
        <f>N73*VLOOKUP('Données projet'!$B$9,Paramètres!$A$1:$I$89,3,0)*VLOOKUP('Données projet'!$B$9,Paramètres!$A$1:$I$89,5,0)</f>
        <v>267.90400000000011</v>
      </c>
      <c r="P73" s="14">
        <f t="shared" si="87"/>
        <v>64.404243631863267</v>
      </c>
      <c r="Q73" s="22">
        <f t="shared" si="54"/>
        <v>578.77019099216204</v>
      </c>
      <c r="R73" s="62">
        <f t="shared" si="55"/>
        <v>845.17573512917147</v>
      </c>
      <c r="S73" s="62">
        <f ca="1">AVERAGE(OFFSET($R$3,0,0,'Données projet'!$E$9+1,1))-AVERAGE(OFFSET($H$3,0,0,'Données projet'!$E$9+1,1))</f>
        <v>319.74550658573207</v>
      </c>
      <c r="T73" s="62">
        <f t="shared" si="88"/>
        <v>231.35643408122294</v>
      </c>
      <c r="U73" s="16">
        <f>IF(ISNA(VLOOKUP(A73,'Données projet'!$A$35:$I$55,3,0)),0,VLOOKUP(A73,'Données projet'!$A$35:$I$55,3,0))</f>
        <v>7</v>
      </c>
      <c r="V73" s="16">
        <f>IF(ISNA(VLOOKUP(A73,'Données projet'!$A$35:$I$55,4,0)),0,VLOOKUP(A73,'Données projet'!$A$35:$I$55,4,0))</f>
        <v>78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1.7179738884334619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6.0971976570287577E-6</v>
      </c>
      <c r="AC73" s="24">
        <f t="shared" si="57"/>
        <v>1.7179799856311189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254.64144953102331</v>
      </c>
      <c r="AO73" s="62">
        <f t="shared" si="90"/>
        <v>361.41009011468407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0.73299907650040141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4.0365864588018838E-6</v>
      </c>
      <c r="AX73" s="23">
        <f t="shared" si="60"/>
        <v>0.73300311308686017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172</v>
      </c>
      <c r="BB73" s="13">
        <f>VLOOKUP(A73,'Données projet'!$A$87:$I$107,9,0)</f>
        <v>5</v>
      </c>
      <c r="BC73" s="13">
        <f t="array" ref="BC73">INDEX(BB:BB,MIN(IF(ISNUMBER(BB73:BB269),ROW(BB73:BB269),"")))</f>
        <v>5</v>
      </c>
      <c r="BD73" s="13">
        <f>IF('Données projet'!$A$88&gt;35,BD72+BC73-BL72,IF(A73&lt;'Données projet'!$A$88,$BA$205^A73,IF(A73='Données projet'!$A$88,'Données projet'!$B$88,BD72+BC73-BL72)))</f>
        <v>172</v>
      </c>
      <c r="BE73" s="14">
        <f>BD73*VLOOKUP('Données projet'!$B$11,Paramètres!$A$1:$I$89,3,0)*VLOOKUP('Données projet'!$B$11,Paramètres!$A$1:$I$89,5,0)</f>
        <v>179.77440000000001</v>
      </c>
      <c r="BF73" s="14">
        <f t="shared" si="91"/>
        <v>45.271990660094822</v>
      </c>
      <c r="BG73" s="22">
        <f t="shared" si="61"/>
        <v>391.9557970663318</v>
      </c>
      <c r="BH73" s="62">
        <f t="shared" si="62"/>
        <v>658.36134120334123</v>
      </c>
      <c r="BI73" s="62">
        <f ca="1">AVERAGE(OFFSET($BH$3,0,0,'Données projet'!$E$11+1,1))-AVERAGE(OFFSET($H$3,0,0,'Données projet'!$E$11+1,1))</f>
        <v>352.34406861564418</v>
      </c>
      <c r="BJ73" s="62">
        <f t="shared" si="92"/>
        <v>182.40373266220317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206</v>
      </c>
      <c r="BW73" s="13">
        <f>VLOOKUP(A73,'Données projet'!$A$113:$I$133,9,0)</f>
        <v>4</v>
      </c>
      <c r="BX73" s="13">
        <f t="array" ref="BX73">INDEX(BW:BW,MIN(IF(ISNUMBER(BW73:BW269),ROW(BW73:BW269),"")))</f>
        <v>4</v>
      </c>
      <c r="BY73" s="13">
        <f>IF('Données projet'!$A$114&gt;35,BY72+BX73-CG72,IF(A73&lt;'Données projet'!$A$114,$BV$205^A73,IF(A73='Données projet'!$A$114,'Données projet'!$B$114,BY72+BX73-CG72)))</f>
        <v>205.99999999999966</v>
      </c>
      <c r="BZ73" s="14">
        <f>BY73*VLOOKUP('Données projet'!$B$12,Paramètres!$A$1:$I$89,3,0)*VLOOKUP('Données projet'!$B$12,Paramètres!$A$1:$I$89,5,0)</f>
        <v>179.96159999999972</v>
      </c>
      <c r="CA73" s="14">
        <f t="shared" si="93"/>
        <v>45.313642767960062</v>
      </c>
      <c r="CB73" s="22">
        <f t="shared" si="64"/>
        <v>392.35438115419657</v>
      </c>
      <c r="CC73" s="62">
        <f t="shared" si="65"/>
        <v>658.75992529120606</v>
      </c>
      <c r="CD73" s="62">
        <f ca="1">AVERAGE(OFFSET($CC$3,0,0,'Données projet'!$E$12+1,1))-AVERAGE(OFFSET($H$3,0,0,'Données projet'!$E$12+1,1))</f>
        <v>325.33012514933523</v>
      </c>
      <c r="CE73" s="62">
        <f t="shared" si="94"/>
        <v>332.38915219929675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15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2.1876547707132583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2.4079271756970278E-5</v>
      </c>
      <c r="CN73" s="24">
        <f t="shared" si="66"/>
        <v>2.1876788499850153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</v>
      </c>
      <c r="N74" s="14">
        <f>IF('Données projet'!$A$36&gt;35,N73+M74-V73,IF(A74&lt;'Données projet'!$A$36,$K$205^A74,IF(A74='Données projet'!$A$36,'Données projet'!$B$36,N73+M74-V73)))</f>
        <v>379.00000000000011</v>
      </c>
      <c r="O74" s="14">
        <f>N74*VLOOKUP('Données projet'!$B$9,Paramètres!$A$1:$I$89,3,0)*VLOOKUP('Données projet'!$B$9,Paramètres!$A$1:$I$89,5,0)</f>
        <v>226.64200000000008</v>
      </c>
      <c r="P74" s="14">
        <f t="shared" si="87"/>
        <v>55.555983079812862</v>
      </c>
      <c r="Q74" s="22">
        <f t="shared" si="54"/>
        <v>491.49482053067413</v>
      </c>
      <c r="R74" s="62">
        <f t="shared" si="55"/>
        <v>758.36750160872202</v>
      </c>
      <c r="S74" s="62">
        <f ca="1">AVERAGE(OFFSET($R$3,0,0,'Données projet'!$E$9+1,1))-AVERAGE(OFFSET($H$3,0,0,'Données projet'!$E$9+1,1))</f>
        <v>319.74550658573207</v>
      </c>
      <c r="T74" s="62">
        <f t="shared" si="88"/>
        <v>231.35643408122294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1.684285468341886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4.311369809519764E-6</v>
      </c>
      <c r="AC74" s="24">
        <f t="shared" si="57"/>
        <v>1.6842897797116956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254.64144953102331</v>
      </c>
      <c r="AO74" s="62">
        <f t="shared" si="90"/>
        <v>361.41009011468407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0.71862541169551919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2.8542976578646044E-6</v>
      </c>
      <c r="AX74" s="23">
        <f t="shared" si="60"/>
        <v>0.71862826599317708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</v>
      </c>
      <c r="BD74" s="13">
        <f>IF('Données projet'!$A$88&gt;35,BD73+BC74-BL73,IF(A74&lt;'Données projet'!$A$88,$BA$205^A74,IF(A74='Données projet'!$A$88,'Données projet'!$B$88,BD73+BC74-BL73)))</f>
        <v>163</v>
      </c>
      <c r="BE74" s="14">
        <f>BD74*VLOOKUP('Données projet'!$B$11,Paramètres!$A$1:$I$89,3,0)*VLOOKUP('Données projet'!$B$11,Paramètres!$A$1:$I$89,5,0)</f>
        <v>170.36760000000001</v>
      </c>
      <c r="BF74" s="14">
        <f t="shared" si="91"/>
        <v>43.172343404023245</v>
      </c>
      <c r="BG74" s="22">
        <f t="shared" si="61"/>
        <v>371.91540142867387</v>
      </c>
      <c r="BH74" s="62">
        <f t="shared" si="62"/>
        <v>638.78808250672182</v>
      </c>
      <c r="BI74" s="62">
        <f ca="1">AVERAGE(OFFSET($BH$3,0,0,'Données projet'!$E$11+1,1))-AVERAGE(OFFSET($H$3,0,0,'Données projet'!$E$11+1,1))</f>
        <v>352.34406861564418</v>
      </c>
      <c r="BJ74" s="62">
        <f t="shared" si="92"/>
        <v>182.40373266220317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3.6</v>
      </c>
      <c r="BY74" s="13">
        <f>IF('Données projet'!$A$114&gt;35,BY73+BX74-CG73,IF(A74&lt;'Données projet'!$A$114,$BV$205^A74,IF(A74='Données projet'!$A$114,'Données projet'!$B$114,BY73+BX74-CG73)))</f>
        <v>194.59999999999965</v>
      </c>
      <c r="BZ74" s="14">
        <f>BY74*VLOOKUP('Données projet'!$B$12,Paramètres!$A$1:$I$89,3,0)*VLOOKUP('Données projet'!$B$12,Paramètres!$A$1:$I$89,5,0)</f>
        <v>170.0025599999997</v>
      </c>
      <c r="CA74" s="14">
        <f t="shared" si="93"/>
        <v>43.090596939649508</v>
      </c>
      <c r="CB74" s="22">
        <f t="shared" si="64"/>
        <v>371.13724833655573</v>
      </c>
      <c r="CC74" s="62">
        <f t="shared" si="65"/>
        <v>638.00992941460368</v>
      </c>
      <c r="CD74" s="62">
        <f ca="1">AVERAGE(OFFSET($CC$3,0,0,'Données projet'!$E$12+1,1))-AVERAGE(OFFSET($H$3,0,0,'Données projet'!$E$12+1,1))</f>
        <v>325.33012514933523</v>
      </c>
      <c r="CE74" s="62">
        <f t="shared" si="94"/>
        <v>332.38915219929675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2.1447561949972265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1.7026616345387396E-5</v>
      </c>
      <c r="CN74" s="24">
        <f t="shared" si="66"/>
        <v>2.1447732216135718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</v>
      </c>
      <c r="N75" s="14">
        <f>IF('Données projet'!$A$36&gt;35,N74+M75-V74,IF(A75&lt;'Données projet'!$A$36,$K$205^A75,IF(A75='Données projet'!$A$36,'Données projet'!$B$36,N74+M75-V74)))</f>
        <v>388.00000000000011</v>
      </c>
      <c r="O75" s="14">
        <f>N75*VLOOKUP('Données projet'!$B$9,Paramètres!$A$1:$I$89,3,0)*VLOOKUP('Données projet'!$B$9,Paramètres!$A$1:$I$89,5,0)</f>
        <v>232.02400000000006</v>
      </c>
      <c r="P75" s="14">
        <f t="shared" si="87"/>
        <v>56.720094243161071</v>
      </c>
      <c r="Q75" s="22">
        <f t="shared" si="54"/>
        <v>502.89596414017234</v>
      </c>
      <c r="R75" s="62">
        <f t="shared" si="55"/>
        <v>770.22767837769345</v>
      </c>
      <c r="S75" s="62">
        <f ca="1">AVERAGE(OFFSET($R$3,0,0,'Données projet'!$E$9+1,1))-AVERAGE(OFFSET($H$3,0,0,'Données projet'!$E$9+1,1))</f>
        <v>319.74550658573207</v>
      </c>
      <c r="T75" s="62">
        <f t="shared" si="88"/>
        <v>231.35643408122294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1.6512576576203986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3.0485988285143789E-6</v>
      </c>
      <c r="AC75" s="24">
        <f t="shared" si="57"/>
        <v>1.651260706219227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254.64144953102331</v>
      </c>
      <c r="AO75" s="62">
        <f t="shared" si="90"/>
        <v>361.41009011468407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0.70453360569039092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2.0182932294009419E-6</v>
      </c>
      <c r="AX75" s="23">
        <f t="shared" si="60"/>
        <v>0.70453562398362035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</v>
      </c>
      <c r="BD75" s="13">
        <f>IF('Données projet'!$A$88&gt;35,BD74+BC75-BL74,IF(A75&lt;'Données projet'!$A$88,$BA$205^A75,IF(A75='Données projet'!$A$88,'Données projet'!$B$88,BD74+BC75-BL74)))</f>
        <v>168</v>
      </c>
      <c r="BE75" s="14">
        <f>BD75*VLOOKUP('Données projet'!$B$11,Paramètres!$A$1:$I$89,3,0)*VLOOKUP('Données projet'!$B$11,Paramètres!$A$1:$I$89,5,0)</f>
        <v>175.59360000000001</v>
      </c>
      <c r="BF75" s="14">
        <f t="shared" si="91"/>
        <v>44.340433728638573</v>
      </c>
      <c r="BG75" s="22">
        <f t="shared" si="61"/>
        <v>383.0517754107122</v>
      </c>
      <c r="BH75" s="62">
        <f t="shared" si="62"/>
        <v>650.38348964823331</v>
      </c>
      <c r="BI75" s="62">
        <f ca="1">AVERAGE(OFFSET($BH$3,0,0,'Données projet'!$E$11+1,1))-AVERAGE(OFFSET($H$3,0,0,'Données projet'!$E$11+1,1))</f>
        <v>352.34406861564418</v>
      </c>
      <c r="BJ75" s="62">
        <f t="shared" si="92"/>
        <v>182.40373266220317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3.6</v>
      </c>
      <c r="BY75" s="13">
        <f>IF('Données projet'!$A$114&gt;35,BY74+BX75-CG74,IF(A75&lt;'Données projet'!$A$114,$BV$205^A75,IF(A75='Données projet'!$A$114,'Données projet'!$B$114,BY74+BX75-CG74)))</f>
        <v>198.19999999999965</v>
      </c>
      <c r="BZ75" s="14">
        <f>BY75*VLOOKUP('Données projet'!$B$12,Paramètres!$A$1:$I$89,3,0)*VLOOKUP('Données projet'!$B$12,Paramètres!$A$1:$I$89,5,0)</f>
        <v>173.14751999999973</v>
      </c>
      <c r="CA75" s="14">
        <f t="shared" si="93"/>
        <v>43.794208927254033</v>
      </c>
      <c r="CB75" s="22">
        <f t="shared" si="64"/>
        <v>377.84017788163356</v>
      </c>
      <c r="CC75" s="62">
        <f t="shared" si="65"/>
        <v>645.17189211915468</v>
      </c>
      <c r="CD75" s="62">
        <f ca="1">AVERAGE(OFFSET($CC$3,0,0,'Données projet'!$E$12+1,1))-AVERAGE(OFFSET($H$3,0,0,'Données projet'!$E$12+1,1))</f>
        <v>325.33012514933523</v>
      </c>
      <c r="CE75" s="62">
        <f t="shared" si="94"/>
        <v>332.38915219929675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2.1026988341854387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1.2039635878485139E-5</v>
      </c>
      <c r="CN75" s="24">
        <f t="shared" si="66"/>
        <v>2.1027108738213172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</v>
      </c>
      <c r="N76" s="14">
        <f>IF('Données projet'!$A$36&gt;35,N75+M76-V75,IF(A76&lt;'Données projet'!$A$36,$K$205^A76,IF(A76='Données projet'!$A$36,'Données projet'!$B$36,N75+M76-V75)))</f>
        <v>397.00000000000011</v>
      </c>
      <c r="O76" s="14">
        <f>N76*VLOOKUP('Données projet'!$B$9,Paramètres!$A$1:$I$89,3,0)*VLOOKUP('Données projet'!$B$9,Paramètres!$A$1:$I$89,5,0)</f>
        <v>237.40600000000009</v>
      </c>
      <c r="P76" s="14">
        <f t="shared" si="87"/>
        <v>57.881066248213493</v>
      </c>
      <c r="Q76" s="22">
        <f t="shared" si="54"/>
        <v>514.29164038230522</v>
      </c>
      <c r="R76" s="62">
        <f t="shared" si="55"/>
        <v>782.07442458022706</v>
      </c>
      <c r="S76" s="62">
        <f ca="1">AVERAGE(OFFSET($R$3,0,0,'Données projet'!$E$9+1,1))-AVERAGE(OFFSET($H$3,0,0,'Données projet'!$E$9+1,1))</f>
        <v>319.74550658573207</v>
      </c>
      <c r="T76" s="62">
        <f t="shared" si="88"/>
        <v>231.35643408122294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1.6188775021221842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2.155684904759882E-6</v>
      </c>
      <c r="AC76" s="24">
        <f t="shared" si="57"/>
        <v>1.618879657807089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254.64144953102331</v>
      </c>
      <c r="AO76" s="62">
        <f t="shared" si="90"/>
        <v>361.41009011468407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0.69071813140587024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1.4271488289323022E-6</v>
      </c>
      <c r="AX76" s="23">
        <f t="shared" si="60"/>
        <v>0.69071955855469913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</v>
      </c>
      <c r="BD76" s="13">
        <f>IF('Données projet'!$A$88&gt;35,BD75+BC76-BL75,IF(A76&lt;'Données projet'!$A$88,$BA$205^A76,IF(A76='Données projet'!$A$88,'Données projet'!$B$88,BD75+BC76-BL75)))</f>
        <v>173</v>
      </c>
      <c r="BE76" s="14">
        <f>BD76*VLOOKUP('Données projet'!$B$11,Paramètres!$A$1:$I$89,3,0)*VLOOKUP('Données projet'!$B$11,Paramètres!$A$1:$I$89,5,0)</f>
        <v>180.81960000000004</v>
      </c>
      <c r="BF76" s="14">
        <f t="shared" si="91"/>
        <v>45.504483825620213</v>
      </c>
      <c r="BG76" s="22">
        <f t="shared" si="61"/>
        <v>394.18111266295523</v>
      </c>
      <c r="BH76" s="62">
        <f t="shared" si="62"/>
        <v>661.96389686087696</v>
      </c>
      <c r="BI76" s="62">
        <f ca="1">AVERAGE(OFFSET($BH$3,0,0,'Données projet'!$E$11+1,1))-AVERAGE(OFFSET($H$3,0,0,'Données projet'!$E$11+1,1))</f>
        <v>352.34406861564418</v>
      </c>
      <c r="BJ76" s="62">
        <f t="shared" si="92"/>
        <v>182.40373266220317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3.6</v>
      </c>
      <c r="BY76" s="13">
        <f>IF('Données projet'!$A$114&gt;35,BY75+BX76-CG75,IF(A76&lt;'Données projet'!$A$114,$BV$205^A76,IF(A76='Données projet'!$A$114,'Données projet'!$B$114,BY75+BX76-CG75)))</f>
        <v>201.79999999999964</v>
      </c>
      <c r="BZ76" s="14">
        <f>BY76*VLOOKUP('Données projet'!$B$12,Paramètres!$A$1:$I$89,3,0)*VLOOKUP('Données projet'!$B$12,Paramètres!$A$1:$I$89,5,0)</f>
        <v>176.2924799999997</v>
      </c>
      <c r="CA76" s="14">
        <f t="shared" si="93"/>
        <v>44.496334803721815</v>
      </c>
      <c r="CB76" s="22">
        <f t="shared" si="64"/>
        <v>384.54051911648162</v>
      </c>
      <c r="CC76" s="62">
        <f t="shared" si="65"/>
        <v>652.32330331440335</v>
      </c>
      <c r="CD76" s="62">
        <f ca="1">AVERAGE(OFFSET($CC$3,0,0,'Données projet'!$E$12+1,1))-AVERAGE(OFFSET($H$3,0,0,'Données projet'!$E$12+1,1))</f>
        <v>325.33012514933523</v>
      </c>
      <c r="CE76" s="62">
        <f t="shared" si="94"/>
        <v>332.38915219929675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2.0614661925667126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8.5133081726936978E-6</v>
      </c>
      <c r="CN76" s="24">
        <f t="shared" si="66"/>
        <v>2.0614747058748852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</v>
      </c>
      <c r="N77" s="14">
        <f>IF('Données projet'!$A$36&gt;35,N76+M77-V76,IF(A77&lt;'Données projet'!$A$36,$K$205^A77,IF(A77='Données projet'!$A$36,'Données projet'!$B$36,N76+M77-V76)))</f>
        <v>406.00000000000011</v>
      </c>
      <c r="O77" s="14">
        <f>N77*VLOOKUP('Données projet'!$B$9,Paramètres!$A$1:$I$89,3,0)*VLOOKUP('Données projet'!$B$9,Paramètres!$A$1:$I$89,5,0)</f>
        <v>242.78800000000007</v>
      </c>
      <c r="P77" s="14">
        <f t="shared" si="87"/>
        <v>59.038978452354563</v>
      </c>
      <c r="Q77" s="22">
        <f t="shared" si="54"/>
        <v>525.68198747118436</v>
      </c>
      <c r="R77" s="62">
        <f t="shared" si="55"/>
        <v>793.90801657413522</v>
      </c>
      <c r="S77" s="62">
        <f ca="1">AVERAGE(OFFSET($R$3,0,0,'Données projet'!$E$9+1,1))-AVERAGE(OFFSET($H$3,0,0,'Données projet'!$E$9+1,1))</f>
        <v>319.74550658573207</v>
      </c>
      <c r="T77" s="62">
        <f t="shared" si="88"/>
        <v>231.35643408122294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1.587132301723345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1.5242994142571894E-6</v>
      </c>
      <c r="AC77" s="24">
        <f t="shared" si="57"/>
        <v>1.5871338260227592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254.64144953102331</v>
      </c>
      <c r="AO77" s="62">
        <f t="shared" si="90"/>
        <v>361.41009011468407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0.67717357014546176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1.0091466147004709E-6</v>
      </c>
      <c r="AX77" s="23">
        <f t="shared" si="60"/>
        <v>0.67717457929207647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</v>
      </c>
      <c r="BD77" s="13">
        <f>IF('Données projet'!$A$88&gt;35,BD76+BC77-BL76,IF(A77&lt;'Données projet'!$A$88,$BA$205^A77,IF(A77='Données projet'!$A$88,'Données projet'!$B$88,BD76+BC77-BL76)))</f>
        <v>178</v>
      </c>
      <c r="BE77" s="14">
        <f>BD77*VLOOKUP('Données projet'!$B$11,Paramètres!$A$1:$I$89,3,0)*VLOOKUP('Données projet'!$B$11,Paramètres!$A$1:$I$89,5,0)</f>
        <v>186.04560000000001</v>
      </c>
      <c r="BF77" s="14">
        <f t="shared" si="91"/>
        <v>46.664623874231999</v>
      </c>
      <c r="BG77" s="22">
        <f t="shared" si="61"/>
        <v>405.30363991428743</v>
      </c>
      <c r="BH77" s="62">
        <f t="shared" si="62"/>
        <v>673.52966901723835</v>
      </c>
      <c r="BI77" s="62">
        <f ca="1">AVERAGE(OFFSET($BH$3,0,0,'Données projet'!$E$11+1,1))-AVERAGE(OFFSET($H$3,0,0,'Données projet'!$E$11+1,1))</f>
        <v>352.34406861564418</v>
      </c>
      <c r="BJ77" s="62">
        <f t="shared" si="92"/>
        <v>182.40373266220317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3.6</v>
      </c>
      <c r="BY77" s="13">
        <f>IF('Données projet'!$A$114&gt;35,BY76+BX77-CG76,IF(A77&lt;'Données projet'!$A$114,$BV$205^A77,IF(A77='Données projet'!$A$114,'Données projet'!$B$114,BY76+BX77-CG76)))</f>
        <v>205.39999999999964</v>
      </c>
      <c r="BZ77" s="14">
        <f>BY77*VLOOKUP('Données projet'!$B$12,Paramètres!$A$1:$I$89,3,0)*VLOOKUP('Données projet'!$B$12,Paramètres!$A$1:$I$89,5,0)</f>
        <v>179.4374399999997</v>
      </c>
      <c r="CA77" s="14">
        <f t="shared" si="93"/>
        <v>45.197004138831538</v>
      </c>
      <c r="CB77" s="22">
        <f t="shared" si="64"/>
        <v>391.23832354179768</v>
      </c>
      <c r="CC77" s="62">
        <f t="shared" si="65"/>
        <v>659.46435264474849</v>
      </c>
      <c r="CD77" s="62">
        <f ca="1">AVERAGE(OFFSET($CC$3,0,0,'Données projet'!$E$12+1,1))-AVERAGE(OFFSET($H$3,0,0,'Données projet'!$E$12+1,1))</f>
        <v>325.33012514933523</v>
      </c>
      <c r="CE77" s="62">
        <f t="shared" si="94"/>
        <v>332.38915219929675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2.0210420979007018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6.0198179392425694E-6</v>
      </c>
      <c r="CN77" s="24">
        <f t="shared" si="66"/>
        <v>2.021048117718641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9</v>
      </c>
      <c r="N78" s="14">
        <f>IF('Données projet'!$A$36&gt;35,N77+M78-V77,IF(A78&lt;'Données projet'!$A$36,$K$205^A78,IF(A78='Données projet'!$A$36,'Données projet'!$B$36,N77+M78-V77)))</f>
        <v>415.00000000000011</v>
      </c>
      <c r="O78" s="14">
        <f>N78*VLOOKUP('Données projet'!$B$9,Paramètres!$A$1:$I$89,3,0)*VLOOKUP('Données projet'!$B$9,Paramètres!$A$1:$I$89,5,0)</f>
        <v>248.1700000000001</v>
      </c>
      <c r="P78" s="14">
        <f t="shared" si="87"/>
        <v>60.193906493778854</v>
      </c>
      <c r="Q78" s="22">
        <f t="shared" si="54"/>
        <v>537.06713714333159</v>
      </c>
      <c r="R78" s="62">
        <f t="shared" si="55"/>
        <v>805.72872184315634</v>
      </c>
      <c r="S78" s="62">
        <f ca="1">AVERAGE(OFFSET($R$3,0,0,'Données projet'!$E$9+1,1))-AVERAGE(OFFSET($H$3,0,0,'Données projet'!$E$9+1,1))</f>
        <v>319.74550658573207</v>
      </c>
      <c r="T78" s="62">
        <f t="shared" si="88"/>
        <v>231.35643408122294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1.5560096053416668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1.077842452379941E-6</v>
      </c>
      <c r="AC78" s="24">
        <f t="shared" si="57"/>
        <v>1.5560106831841192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254.64144953102331</v>
      </c>
      <c r="AO78" s="62">
        <f t="shared" si="90"/>
        <v>361.41009011468407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0.66389460947000323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7.1357441446615111E-7</v>
      </c>
      <c r="AX78" s="23">
        <f t="shared" si="60"/>
        <v>0.66389532304441767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183</v>
      </c>
      <c r="BB78" s="13">
        <f>VLOOKUP(A78,'Données projet'!$A$87:$I$107,9,0)</f>
        <v>5</v>
      </c>
      <c r="BC78" s="13">
        <f t="array" ref="BC78">INDEX(BB:BB,MIN(IF(ISNUMBER(BB78:BB274),ROW(BB78:BB274),"")))</f>
        <v>5</v>
      </c>
      <c r="BD78" s="13">
        <f>IF('Données projet'!$A$88&gt;35,BD77+BC78-BL77,IF(A78&lt;'Données projet'!$A$88,$BA$205^A78,IF(A78='Données projet'!$A$88,'Données projet'!$B$88,BD77+BC78-BL77)))</f>
        <v>183</v>
      </c>
      <c r="BE78" s="14">
        <f>BD78*VLOOKUP('Données projet'!$B$11,Paramètres!$A$1:$I$89,3,0)*VLOOKUP('Données projet'!$B$11,Paramètres!$A$1:$I$89,5,0)</f>
        <v>191.27160000000003</v>
      </c>
      <c r="BF78" s="14">
        <f t="shared" si="91"/>
        <v>47.820976324217895</v>
      </c>
      <c r="BG78" s="22">
        <f t="shared" si="61"/>
        <v>416.41957043134624</v>
      </c>
      <c r="BH78" s="62">
        <f t="shared" si="62"/>
        <v>685.08115513117104</v>
      </c>
      <c r="BI78" s="62">
        <f ca="1">AVERAGE(OFFSET($BH$3,0,0,'Données projet'!$E$11+1,1))-AVERAGE(OFFSET($H$3,0,0,'Données projet'!$E$11+1,1))</f>
        <v>352.34406861564418</v>
      </c>
      <c r="BJ78" s="62">
        <f t="shared" si="92"/>
        <v>182.40373266220317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209</v>
      </c>
      <c r="BW78" s="13">
        <f>VLOOKUP(A78,'Données projet'!$A$113:$I$133,9,0)</f>
        <v>3.6</v>
      </c>
      <c r="BX78" s="13">
        <f t="array" ref="BX78">INDEX(BW:BW,MIN(IF(ISNUMBER(BW78:BW274),ROW(BW78:BW274),"")))</f>
        <v>3.6</v>
      </c>
      <c r="BY78" s="13">
        <f>IF('Données projet'!$A$114&gt;35,BY77+BX78-CG77,IF(A78&lt;'Données projet'!$A$114,$BV$205^A78,IF(A78='Données projet'!$A$114,'Données projet'!$B$114,BY77+BX78-CG77)))</f>
        <v>208.99999999999963</v>
      </c>
      <c r="BZ78" s="14">
        <f>BY78*VLOOKUP('Données projet'!$B$12,Paramètres!$A$1:$I$89,3,0)*VLOOKUP('Données projet'!$B$12,Paramètres!$A$1:$I$89,5,0)</f>
        <v>182.58239999999969</v>
      </c>
      <c r="CA78" s="14">
        <f t="shared" si="93"/>
        <v>45.896245406460203</v>
      </c>
      <c r="CB78" s="22">
        <f t="shared" si="64"/>
        <v>397.9336407495843</v>
      </c>
      <c r="CC78" s="62">
        <f t="shared" si="65"/>
        <v>666.5952254494091</v>
      </c>
      <c r="CD78" s="62">
        <f ca="1">AVERAGE(OFFSET($CC$3,0,0,'Données projet'!$E$12+1,1))-AVERAGE(OFFSET($H$3,0,0,'Données projet'!$E$12+1,1))</f>
        <v>325.33012514933523</v>
      </c>
      <c r="CE78" s="62">
        <f t="shared" si="94"/>
        <v>332.38915219929675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13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1.9814106950748283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4.2566540863468489E-6</v>
      </c>
      <c r="CN78" s="24">
        <f t="shared" si="66"/>
        <v>1.9814149517289146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9</v>
      </c>
      <c r="N79" s="14">
        <f>IF('Données projet'!$A$36&gt;35,N78+M79-V78,IF(A79&lt;'Données projet'!$A$36,$K$205^A79,IF(A79='Données projet'!$A$36,'Données projet'!$B$36,N78+M79-V78)))</f>
        <v>424.00000000000011</v>
      </c>
      <c r="O79" s="14">
        <f>N79*VLOOKUP('Données projet'!$B$9,Paramètres!$A$1:$I$89,3,0)*VLOOKUP('Données projet'!$B$9,Paramètres!$A$1:$I$89,5,0)</f>
        <v>253.55200000000008</v>
      </c>
      <c r="P79" s="14">
        <f t="shared" si="87"/>
        <v>61.345922542613536</v>
      </c>
      <c r="Q79" s="22">
        <f t="shared" si="54"/>
        <v>548.447215095052</v>
      </c>
      <c r="R79" s="62">
        <f t="shared" si="55"/>
        <v>817.53679947590149</v>
      </c>
      <c r="S79" s="62">
        <f ca="1">AVERAGE(OFFSET($R$3,0,0,'Données projet'!$E$9+1,1))-AVERAGE(OFFSET($H$3,0,0,'Données projet'!$E$9+1,1))</f>
        <v>319.74550658573207</v>
      </c>
      <c r="T79" s="62">
        <f t="shared" si="88"/>
        <v>231.35643408122294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1.5254972060530629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7.6214970712859472E-7</v>
      </c>
      <c r="AC79" s="24">
        <f t="shared" si="57"/>
        <v>1.5254979682027701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254.64144953102331</v>
      </c>
      <c r="AO79" s="62">
        <f t="shared" si="90"/>
        <v>361.41009011468407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0.6508760411140242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5.0457330735023547E-7</v>
      </c>
      <c r="AX79" s="23">
        <f t="shared" si="60"/>
        <v>0.65087654568733155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173.6</v>
      </c>
      <c r="BE79" s="14">
        <f>BD79*VLOOKUP('Données projet'!$B$11,Paramètres!$A$1:$I$89,3,0)*VLOOKUP('Données projet'!$B$11,Paramètres!$A$1:$I$89,5,0)</f>
        <v>181.44672</v>
      </c>
      <c r="BF79" s="14">
        <f t="shared" si="91"/>
        <v>45.64390459939613</v>
      </c>
      <c r="BG79" s="22">
        <f t="shared" si="61"/>
        <v>395.51617117728159</v>
      </c>
      <c r="BH79" s="62">
        <f t="shared" si="62"/>
        <v>664.60575555813102</v>
      </c>
      <c r="BI79" s="62">
        <f ca="1">AVERAGE(OFFSET($BH$3,0,0,'Données projet'!$E$11+1,1))-AVERAGE(OFFSET($H$3,0,0,'Données projet'!$E$11+1,1))</f>
        <v>352.34406861564418</v>
      </c>
      <c r="BJ79" s="62">
        <f t="shared" si="92"/>
        <v>182.40373266220317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</v>
      </c>
      <c r="BY79" s="13">
        <f>IF('Données projet'!$A$114&gt;35,BY78+BX79-CG78,IF(A79&lt;'Données projet'!$A$114,$BV$205^A79,IF(A79='Données projet'!$A$114,'Données projet'!$B$114,BY78+BX79-CG78)))</f>
        <v>198.99999999999963</v>
      </c>
      <c r="BZ79" s="14">
        <f>BY79*VLOOKUP('Données projet'!$B$12,Paramètres!$A$1:$I$89,3,0)*VLOOKUP('Données projet'!$B$12,Paramètres!$A$1:$I$89,5,0)</f>
        <v>173.8463999999997</v>
      </c>
      <c r="CA79" s="14">
        <f t="shared" si="93"/>
        <v>43.950364270382217</v>
      </c>
      <c r="CB79" s="22">
        <f t="shared" si="64"/>
        <v>379.32936443758177</v>
      </c>
      <c r="CC79" s="62">
        <f t="shared" si="65"/>
        <v>648.4189488184312</v>
      </c>
      <c r="CD79" s="62">
        <f ca="1">AVERAGE(OFFSET($CC$3,0,0,'Données projet'!$E$12+1,1))-AVERAGE(OFFSET($H$3,0,0,'Données projet'!$E$12+1,1))</f>
        <v>325.33012514933523</v>
      </c>
      <c r="CE79" s="62">
        <f t="shared" si="94"/>
        <v>332.38915219929675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1.9425564398856012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3.0099089696212847E-6</v>
      </c>
      <c r="CN79" s="24">
        <f t="shared" si="66"/>
        <v>1.9425594497945708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9</v>
      </c>
      <c r="N80" s="14">
        <f>IF('Données projet'!$A$36&gt;35,N79+M80-V79,IF(A80&lt;'Données projet'!$A$36,$K$205^A80,IF(A80='Données projet'!$A$36,'Données projet'!$B$36,N79+M80-V79)))</f>
        <v>433.00000000000011</v>
      </c>
      <c r="O80" s="14">
        <f>N80*VLOOKUP('Données projet'!$B$9,Paramètres!$A$1:$I$89,3,0)*VLOOKUP('Données projet'!$B$9,Paramètres!$A$1:$I$89,5,0)</f>
        <v>258.93400000000008</v>
      </c>
      <c r="P80" s="14">
        <f t="shared" si="87"/>
        <v>62.495095530116075</v>
      </c>
      <c r="Q80" s="22">
        <f t="shared" si="54"/>
        <v>559.82234138161891</v>
      </c>
      <c r="R80" s="62">
        <f t="shared" si="55"/>
        <v>829.33250060589125</v>
      </c>
      <c r="S80" s="62">
        <f ca="1">AVERAGE(OFFSET($R$3,0,0,'Données projet'!$E$9+1,1))-AVERAGE(OFFSET($H$3,0,0,'Données projet'!$E$9+1,1))</f>
        <v>319.74550658573207</v>
      </c>
      <c r="T80" s="62">
        <f t="shared" si="88"/>
        <v>231.35643408122294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1.4955831363037826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5.389212261899705E-7</v>
      </c>
      <c r="AC80" s="24">
        <f t="shared" si="57"/>
        <v>1.4955836752250087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254.64144953102331</v>
      </c>
      <c r="AO80" s="62">
        <f t="shared" si="90"/>
        <v>361.41009011468407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0.63811275894296327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3.5678720723307556E-7</v>
      </c>
      <c r="AX80" s="23">
        <f t="shared" si="60"/>
        <v>0.63811311573017049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178.2</v>
      </c>
      <c r="BE80" s="14">
        <f>BD80*VLOOKUP('Données projet'!$B$11,Paramètres!$A$1:$I$89,3,0)*VLOOKUP('Données projet'!$B$11,Paramètres!$A$1:$I$89,5,0)</f>
        <v>186.25464000000002</v>
      </c>
      <c r="BF80" s="14">
        <f t="shared" si="91"/>
        <v>46.71094990392961</v>
      </c>
      <c r="BG80" s="22">
        <f t="shared" si="61"/>
        <v>405.74840241601078</v>
      </c>
      <c r="BH80" s="62">
        <f t="shared" si="62"/>
        <v>675.25856164028301</v>
      </c>
      <c r="BI80" s="62">
        <f ca="1">AVERAGE(OFFSET($BH$3,0,0,'Données projet'!$E$11+1,1))-AVERAGE(OFFSET($H$3,0,0,'Données projet'!$E$11+1,1))</f>
        <v>352.34406861564418</v>
      </c>
      <c r="BJ80" s="62">
        <f t="shared" si="92"/>
        <v>182.40373266220317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</v>
      </c>
      <c r="BY80" s="13">
        <f>IF('Données projet'!$A$114&gt;35,BY79+BX80-CG79,IF(A80&lt;'Données projet'!$A$114,$BV$205^A80,IF(A80='Données projet'!$A$114,'Données projet'!$B$114,BY79+BX80-CG79)))</f>
        <v>201.99999999999963</v>
      </c>
      <c r="BZ80" s="14">
        <f>BY80*VLOOKUP('Données projet'!$B$12,Paramètres!$A$1:$I$89,3,0)*VLOOKUP('Données projet'!$B$12,Paramètres!$A$1:$I$89,5,0)</f>
        <v>176.46719999999971</v>
      </c>
      <c r="CA80" s="14">
        <f t="shared" si="93"/>
        <v>44.53529882198935</v>
      </c>
      <c r="CB80" s="22">
        <f t="shared" si="64"/>
        <v>384.91268544829762</v>
      </c>
      <c r="CC80" s="62">
        <f t="shared" si="65"/>
        <v>654.42284467256991</v>
      </c>
      <c r="CD80" s="62">
        <f ca="1">AVERAGE(OFFSET($CC$3,0,0,'Données projet'!$E$12+1,1))-AVERAGE(OFFSET($H$3,0,0,'Données projet'!$E$12+1,1))</f>
        <v>325.33012514933523</v>
      </c>
      <c r="CE80" s="62">
        <f t="shared" si="94"/>
        <v>332.38915219929675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1.9044640929418795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2.1283270431734245E-6</v>
      </c>
      <c r="CN80" s="24">
        <f t="shared" si="66"/>
        <v>1.9044662212689227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9</v>
      </c>
      <c r="N81" s="14">
        <f>IF('Données projet'!$A$36&gt;35,N80+M81-V80,IF(A81&lt;'Données projet'!$A$36,$K$205^A81,IF(A81='Données projet'!$A$36,'Données projet'!$B$36,N80+M81-V80)))</f>
        <v>442.00000000000011</v>
      </c>
      <c r="O81" s="14">
        <f>N81*VLOOKUP('Données projet'!$B$9,Paramètres!$A$1:$I$89,3,0)*VLOOKUP('Données projet'!$B$9,Paramètres!$A$1:$I$89,5,0)</f>
        <v>264.31600000000009</v>
      </c>
      <c r="P81" s="14">
        <f t="shared" si="87"/>
        <v>63.641491358279801</v>
      </c>
      <c r="Q81" s="22">
        <f t="shared" si="54"/>
        <v>571.19263078233746</v>
      </c>
      <c r="R81" s="62">
        <f t="shared" si="55"/>
        <v>841.11606881676369</v>
      </c>
      <c r="S81" s="62">
        <f ca="1">AVERAGE(OFFSET($R$3,0,0,'Données projet'!$E$9+1,1))-AVERAGE(OFFSET($H$3,0,0,'Données projet'!$E$9+1,1))</f>
        <v>319.74550658573207</v>
      </c>
      <c r="T81" s="62">
        <f t="shared" si="88"/>
        <v>231.35643408122294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1.4662556632165047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3.8107485356429736E-7</v>
      </c>
      <c r="AC81" s="24">
        <f t="shared" si="57"/>
        <v>1.4662560442913584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254.64144953102331</v>
      </c>
      <c r="AO81" s="62">
        <f t="shared" si="90"/>
        <v>361.41009011468407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0.62559975695044334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2.5228665367511774E-7</v>
      </c>
      <c r="AX81" s="23">
        <f t="shared" si="60"/>
        <v>0.62560000923709702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182.79999999999998</v>
      </c>
      <c r="BE81" s="14">
        <f>BD81*VLOOKUP('Données projet'!$B$11,Paramètres!$A$1:$I$89,3,0)*VLOOKUP('Données projet'!$B$11,Paramètres!$A$1:$I$89,5,0)</f>
        <v>191.06256000000002</v>
      </c>
      <c r="BF81" s="14">
        <f t="shared" si="91"/>
        <v>47.774793478923506</v>
      </c>
      <c r="BG81" s="22">
        <f t="shared" si="61"/>
        <v>415.97505730912513</v>
      </c>
      <c r="BH81" s="62">
        <f t="shared" si="62"/>
        <v>685.8984953435513</v>
      </c>
      <c r="BI81" s="62">
        <f ca="1">AVERAGE(OFFSET($BH$3,0,0,'Données projet'!$E$11+1,1))-AVERAGE(OFFSET($H$3,0,0,'Données projet'!$E$11+1,1))</f>
        <v>352.34406861564418</v>
      </c>
      <c r="BJ81" s="62">
        <f t="shared" si="92"/>
        <v>182.40373266220317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</v>
      </c>
      <c r="BY81" s="13">
        <f>IF('Données projet'!$A$114&gt;35,BY80+BX81-CG80,IF(A81&lt;'Données projet'!$A$114,$BV$205^A81,IF(A81='Données projet'!$A$114,'Données projet'!$B$114,BY80+BX81-CG80)))</f>
        <v>204.99999999999963</v>
      </c>
      <c r="BZ81" s="14">
        <f>BY81*VLOOKUP('Données projet'!$B$12,Paramètres!$A$1:$I$89,3,0)*VLOOKUP('Données projet'!$B$12,Paramètres!$A$1:$I$89,5,0)</f>
        <v>179.08799999999968</v>
      </c>
      <c r="CA81" s="14">
        <f t="shared" si="93"/>
        <v>45.119223023956756</v>
      </c>
      <c r="CB81" s="22">
        <f t="shared" si="64"/>
        <v>390.49424676672407</v>
      </c>
      <c r="CC81" s="62">
        <f t="shared" si="65"/>
        <v>660.41768480115024</v>
      </c>
      <c r="CD81" s="62">
        <f ca="1">AVERAGE(OFFSET($CC$3,0,0,'Données projet'!$E$12+1,1))-AVERAGE(OFFSET($H$3,0,0,'Données projet'!$E$12+1,1))</f>
        <v>325.33012514933523</v>
      </c>
      <c r="CE81" s="62">
        <f t="shared" si="94"/>
        <v>332.38915219929675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1.8671187136876866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1.5049544848106423E-6</v>
      </c>
      <c r="CN81" s="24">
        <f t="shared" si="66"/>
        <v>1.8671202186421714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9</v>
      </c>
      <c r="N82" s="14">
        <f>IF('Données projet'!$A$36&gt;35,N81+M82-V81,IF(A82&lt;'Données projet'!$A$36,$K$205^A82,IF(A82='Données projet'!$A$36,'Données projet'!$B$36,N81+M82-V81)))</f>
        <v>451.00000000000011</v>
      </c>
      <c r="O82" s="14">
        <f>N82*VLOOKUP('Données projet'!$B$9,Paramètres!$A$1:$I$89,3,0)*VLOOKUP('Données projet'!$B$9,Paramètres!$A$1:$I$89,5,0)</f>
        <v>269.69800000000009</v>
      </c>
      <c r="P82" s="14">
        <f t="shared" si="87"/>
        <v>64.785173091884289</v>
      </c>
      <c r="Q82" s="22">
        <f t="shared" si="54"/>
        <v>582.55819313503196</v>
      </c>
      <c r="R82" s="62">
        <f t="shared" si="55"/>
        <v>852.88774051620885</v>
      </c>
      <c r="S82" s="62">
        <f ca="1">AVERAGE(OFFSET($R$3,0,0,'Données projet'!$E$9+1,1))-AVERAGE(OFFSET($H$3,0,0,'Données projet'!$E$9+1,1))</f>
        <v>319.74550658573207</v>
      </c>
      <c r="T82" s="62">
        <f t="shared" si="88"/>
        <v>231.35643408122294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1.437503283988476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2.6946061309498525E-7</v>
      </c>
      <c r="AC82" s="24">
        <f t="shared" si="57"/>
        <v>1.4375035534490892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254.64144953102331</v>
      </c>
      <c r="AO82" s="62">
        <f t="shared" si="90"/>
        <v>361.41009011468407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0.61333212729481912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1.7839360361653778E-7</v>
      </c>
      <c r="AX82" s="23">
        <f t="shared" si="60"/>
        <v>0.61333230568842279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187.39999999999998</v>
      </c>
      <c r="BE82" s="14">
        <f>BD82*VLOOKUP('Données projet'!$B$11,Paramètres!$A$1:$I$89,3,0)*VLOOKUP('Données projet'!$B$11,Paramètres!$A$1:$I$89,5,0)</f>
        <v>195.87047999999999</v>
      </c>
      <c r="BF82" s="14">
        <f t="shared" si="91"/>
        <v>48.835525158837896</v>
      </c>
      <c r="BG82" s="22">
        <f t="shared" si="61"/>
        <v>426.1962923183093</v>
      </c>
      <c r="BH82" s="62">
        <f t="shared" si="62"/>
        <v>696.52583969948626</v>
      </c>
      <c r="BI82" s="62">
        <f ca="1">AVERAGE(OFFSET($BH$3,0,0,'Données projet'!$E$11+1,1))-AVERAGE(OFFSET($H$3,0,0,'Données projet'!$E$11+1,1))</f>
        <v>352.34406861564418</v>
      </c>
      <c r="BJ82" s="62">
        <f t="shared" si="92"/>
        <v>182.40373266220317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</v>
      </c>
      <c r="BY82" s="13">
        <f>IF('Données projet'!$A$114&gt;35,BY81+BX82-CG81,IF(A82&lt;'Données projet'!$A$114,$BV$205^A82,IF(A82='Données projet'!$A$114,'Données projet'!$B$114,BY81+BX82-CG81)))</f>
        <v>207.99999999999963</v>
      </c>
      <c r="BZ82" s="14">
        <f>BY82*VLOOKUP('Données projet'!$B$12,Paramètres!$A$1:$I$89,3,0)*VLOOKUP('Données projet'!$B$12,Paramètres!$A$1:$I$89,5,0)</f>
        <v>181.70879999999971</v>
      </c>
      <c r="CA82" s="14">
        <f t="shared" si="93"/>
        <v>45.702153370067727</v>
      </c>
      <c r="CB82" s="22">
        <f t="shared" si="64"/>
        <v>396.07407711953414</v>
      </c>
      <c r="CC82" s="62">
        <f t="shared" si="65"/>
        <v>666.40362450071109</v>
      </c>
      <c r="CD82" s="62">
        <f ca="1">AVERAGE(OFFSET($CC$3,0,0,'Données projet'!$E$12+1,1))-AVERAGE(OFFSET($H$3,0,0,'Données projet'!$E$12+1,1))</f>
        <v>325.33012514933523</v>
      </c>
      <c r="CE82" s="62">
        <f t="shared" si="94"/>
        <v>332.38915219929675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1.8305056545422362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1.0641635215867122E-6</v>
      </c>
      <c r="CN82" s="24">
        <f t="shared" si="66"/>
        <v>1.8305067187057578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460</v>
      </c>
      <c r="L83" s="13">
        <f>VLOOKUP(A83,'Données projet'!$A$35:$I$55,9,0)</f>
        <v>9</v>
      </c>
      <c r="M83" s="13">
        <f t="array" ref="M83">INDEX(L:L,MIN(IF(ISNUMBER(L83:L279),ROW(L83:L279),"")))</f>
        <v>9</v>
      </c>
      <c r="N83" s="14">
        <f>IF('Données projet'!$A$36&gt;35,N82+M83-V82,IF(A83&lt;'Données projet'!$A$36,$K$205^A83,IF(A83='Données projet'!$A$36,'Données projet'!$B$36,N82+M83-V82)))</f>
        <v>460.00000000000011</v>
      </c>
      <c r="O83" s="14">
        <f>N83*VLOOKUP('Données projet'!$B$9,Paramètres!$A$1:$I$89,3,0)*VLOOKUP('Données projet'!$B$9,Paramètres!$A$1:$I$89,5,0)</f>
        <v>275.0800000000001</v>
      </c>
      <c r="P83" s="14">
        <f t="shared" si="87"/>
        <v>65.926201134783341</v>
      </c>
      <c r="Q83" s="22">
        <f t="shared" si="54"/>
        <v>593.91913364308118</v>
      </c>
      <c r="R83" s="62">
        <f t="shared" si="55"/>
        <v>864.64774528176736</v>
      </c>
      <c r="S83" s="62">
        <f ca="1">AVERAGE(OFFSET($R$3,0,0,'Données projet'!$E$9+1,1))-AVERAGE(OFFSET($H$3,0,0,'Données projet'!$E$9+1,1))</f>
        <v>319.74550658573207</v>
      </c>
      <c r="T83" s="62">
        <f t="shared" si="88"/>
        <v>231.35643408122294</v>
      </c>
      <c r="U83" s="16">
        <f>IF(ISNA(VLOOKUP(A83,'Données projet'!$A$35:$I$55,3,0)),0,VLOOKUP(A83,'Données projet'!$A$35:$I$55,3,0))</f>
        <v>8</v>
      </c>
      <c r="V83" s="16">
        <f>IF(ISNA(VLOOKUP(A83,'Données projet'!$A$35:$I$55,4,0)),0,VLOOKUP(A83,'Données projet'!$A$35:$I$55,4,0))</f>
        <v>460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1.4093147213798893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1.9053742678214868E-7</v>
      </c>
      <c r="AC83" s="24">
        <f t="shared" si="57"/>
        <v>1.4093149119173161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254.64144953102331</v>
      </c>
      <c r="AO83" s="62">
        <f t="shared" si="90"/>
        <v>361.41009011468407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0.60130505837422654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1.2614332683755887E-7</v>
      </c>
      <c r="AX83" s="23">
        <f t="shared" si="60"/>
        <v>0.60130518451755333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191.99999999999997</v>
      </c>
      <c r="BE83" s="14">
        <f>BD83*VLOOKUP('Données projet'!$B$11,Paramètres!$A$1:$I$89,3,0)*VLOOKUP('Données projet'!$B$11,Paramètres!$A$1:$I$89,5,0)</f>
        <v>200.67839999999998</v>
      </c>
      <c r="BF83" s="14">
        <f t="shared" si="91"/>
        <v>49.893230116477866</v>
      </c>
      <c r="BG83" s="22">
        <f t="shared" si="61"/>
        <v>436.41225578619895</v>
      </c>
      <c r="BH83" s="62">
        <f t="shared" si="62"/>
        <v>707.14086742488507</v>
      </c>
      <c r="BI83" s="62">
        <f ca="1">AVERAGE(OFFSET($BH$3,0,0,'Données projet'!$E$11+1,1))-AVERAGE(OFFSET($H$3,0,0,'Données projet'!$E$11+1,1))</f>
        <v>352.34406861564418</v>
      </c>
      <c r="BJ83" s="62">
        <f t="shared" si="92"/>
        <v>182.40373266220317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211</v>
      </c>
      <c r="BW83" s="13">
        <f>VLOOKUP(A83,'Données projet'!$A$113:$I$133,9,0)</f>
        <v>3</v>
      </c>
      <c r="BX83" s="13">
        <f t="array" ref="BX83">INDEX(BW:BW,MIN(IF(ISNUMBER(BW83:BW279),ROW(BW83:BW279),"")))</f>
        <v>3</v>
      </c>
      <c r="BY83" s="13">
        <f>IF('Données projet'!$A$114&gt;35,BY82+BX83-CG82,IF(A83&lt;'Données projet'!$A$114,$BV$205^A83,IF(A83='Données projet'!$A$114,'Données projet'!$B$114,BY82+BX83-CG82)))</f>
        <v>210.99999999999963</v>
      </c>
      <c r="BZ83" s="14">
        <f>BY83*VLOOKUP('Données projet'!$B$12,Paramètres!$A$1:$I$89,3,0)*VLOOKUP('Données projet'!$B$12,Paramètres!$A$1:$I$89,5,0)</f>
        <v>184.32959999999969</v>
      </c>
      <c r="CA83" s="14">
        <f t="shared" si="93"/>
        <v>46.284105851002977</v>
      </c>
      <c r="CB83" s="22">
        <f t="shared" si="64"/>
        <v>401.65220435716293</v>
      </c>
      <c r="CC83" s="62">
        <f t="shared" si="65"/>
        <v>672.38081599584905</v>
      </c>
      <c r="CD83" s="62">
        <f ca="1">AVERAGE(OFFSET($CC$3,0,0,'Données projet'!$E$12+1,1))-AVERAGE(OFFSET($H$3,0,0,'Données projet'!$E$12+1,1))</f>
        <v>325.33012514933523</v>
      </c>
      <c r="CE83" s="62">
        <f t="shared" si="94"/>
        <v>332.38915219929675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11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1.7946105551548672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7.5247724240532117E-7</v>
      </c>
      <c r="CN83" s="24">
        <f t="shared" si="66"/>
        <v>1.7946113076321097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271.12075302350343</v>
      </c>
      <c r="S84" s="62">
        <f ca="1">AVERAGE(OFFSET($R$3,0,0,'Données projet'!$E$9+1,1))-AVERAGE(OFFSET($H$3,0,0,'Données projet'!$E$9+1,1))</f>
        <v>319.74550658573207</v>
      </c>
      <c r="T84" s="62">
        <f t="shared" si="88"/>
        <v>231.35643408122294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1.3816789192907315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1.3473030654749262E-7</v>
      </c>
      <c r="AC84" s="24">
        <f t="shared" si="57"/>
        <v>1.381679054021038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254.64144953102331</v>
      </c>
      <c r="AO84" s="62">
        <f t="shared" si="90"/>
        <v>361.41009011468407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0.58951383293937909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8.9196801808268889E-8</v>
      </c>
      <c r="AX84" s="23">
        <f t="shared" si="60"/>
        <v>0.58951392213618092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</v>
      </c>
      <c r="BD84" s="13">
        <f>IF('Données projet'!$A$88&gt;35,BD83+BC84-BL83,IF(A84&lt;'Données projet'!$A$88,$BA$205^A84,IF(A84='Données projet'!$A$88,'Données projet'!$B$88,BD83+BC84-BL83)))</f>
        <v>180.99999999999997</v>
      </c>
      <c r="BE84" s="14">
        <f>BD84*VLOOKUP('Données projet'!$B$11,Paramètres!$A$1:$I$89,3,0)*VLOOKUP('Données projet'!$B$11,Paramètres!$A$1:$I$89,5,0)</f>
        <v>189.18119999999999</v>
      </c>
      <c r="BF84" s="14">
        <f t="shared" si="91"/>
        <v>47.358882320604579</v>
      </c>
      <c r="BG84" s="22">
        <f t="shared" si="61"/>
        <v>411.97397670838626</v>
      </c>
      <c r="BH84" s="62">
        <f t="shared" si="62"/>
        <v>683.0947297318877</v>
      </c>
      <c r="BI84" s="62">
        <f ca="1">AVERAGE(OFFSET($BH$3,0,0,'Données projet'!$E$11+1,1))-AVERAGE(OFFSET($H$3,0,0,'Données projet'!$E$11+1,1))</f>
        <v>352.34406861564418</v>
      </c>
      <c r="BJ84" s="62">
        <f t="shared" si="92"/>
        <v>182.40373266220317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2.6</v>
      </c>
      <c r="BY84" s="13">
        <f>IF('Données projet'!$A$114&gt;35,BY83+BX84-CG83,IF(A84&lt;'Données projet'!$A$114,$BV$205^A84,IF(A84='Données projet'!$A$114,'Données projet'!$B$114,BY83+BX84-CG83)))</f>
        <v>202.59999999999962</v>
      </c>
      <c r="BZ84" s="14">
        <f>BY84*VLOOKUP('Données projet'!$B$12,Paramètres!$A$1:$I$89,3,0)*VLOOKUP('Données projet'!$B$12,Paramètres!$A$1:$I$89,5,0)</f>
        <v>176.9913599999997</v>
      </c>
      <c r="CA84" s="14">
        <f t="shared" si="93"/>
        <v>44.65216395512175</v>
      </c>
      <c r="CB84" s="22">
        <f t="shared" si="64"/>
        <v>386.02913755516988</v>
      </c>
      <c r="CC84" s="62">
        <f t="shared" si="65"/>
        <v>657.14989057867137</v>
      </c>
      <c r="CD84" s="62">
        <f ca="1">AVERAGE(OFFSET($CC$3,0,0,'Données projet'!$E$12+1,1))-AVERAGE(OFFSET($H$3,0,0,'Données projet'!$E$12+1,1))</f>
        <v>325.33012514933523</v>
      </c>
      <c r="CE84" s="62">
        <f t="shared" si="94"/>
        <v>332.38915219929675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1.7594193367726356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5.3208176079335611E-7</v>
      </c>
      <c r="CN84" s="24">
        <f t="shared" si="66"/>
        <v>1.7594198688543965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271.50609163198902</v>
      </c>
      <c r="S85" s="62">
        <f ca="1">AVERAGE(OFFSET($R$3,0,0,'Données projet'!$E$9+1,1))-AVERAGE(OFFSET($H$3,0,0,'Données projet'!$E$9+1,1))</f>
        <v>319.74550658573207</v>
      </c>
      <c r="T85" s="62">
        <f t="shared" si="88"/>
        <v>231.35643408122294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1.3545850384243672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9.526871339107434E-8</v>
      </c>
      <c r="AC85" s="24">
        <f t="shared" si="57"/>
        <v>1.3545851336930805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254.64144953102331</v>
      </c>
      <c r="AO85" s="62">
        <f t="shared" si="90"/>
        <v>361.41009011468407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0.57795382624337155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6.3071663418779434E-8</v>
      </c>
      <c r="AX85" s="23">
        <f t="shared" si="60"/>
        <v>0.577953889315035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</v>
      </c>
      <c r="BD85" s="13">
        <f>IF('Données projet'!$A$88&gt;35,BD84+BC85-BL84,IF(A85&lt;'Données projet'!$A$88,$BA$205^A85,IF(A85='Données projet'!$A$88,'Données projet'!$B$88,BD84+BC85-BL84)))</f>
        <v>183.99999999999997</v>
      </c>
      <c r="BE85" s="14">
        <f>BD85*VLOOKUP('Données projet'!$B$11,Paramètres!$A$1:$I$89,3,0)*VLOOKUP('Données projet'!$B$11,Paramètres!$A$1:$I$89,5,0)</f>
        <v>192.31679999999997</v>
      </c>
      <c r="BF85" s="14">
        <f t="shared" si="91"/>
        <v>48.05180257326473</v>
      </c>
      <c r="BG85" s="22">
        <f t="shared" si="61"/>
        <v>418.64198281510266</v>
      </c>
      <c r="BH85" s="62">
        <f t="shared" si="62"/>
        <v>690.1480744470897</v>
      </c>
      <c r="BI85" s="62">
        <f ca="1">AVERAGE(OFFSET($BH$3,0,0,'Données projet'!$E$11+1,1))-AVERAGE(OFFSET($H$3,0,0,'Données projet'!$E$11+1,1))</f>
        <v>352.34406861564418</v>
      </c>
      <c r="BJ85" s="62">
        <f t="shared" si="92"/>
        <v>182.40373266220317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2.6</v>
      </c>
      <c r="BY85" s="13">
        <f>IF('Données projet'!$A$114&gt;35,BY84+BX85-CG84,IF(A85&lt;'Données projet'!$A$114,$BV$205^A85,IF(A85='Données projet'!$A$114,'Données projet'!$B$114,BY84+BX85-CG84)))</f>
        <v>205.19999999999962</v>
      </c>
      <c r="BZ85" s="14">
        <f>BY85*VLOOKUP('Données projet'!$B$12,Paramètres!$A$1:$I$89,3,0)*VLOOKUP('Données projet'!$B$12,Paramètres!$A$1:$I$89,5,0)</f>
        <v>179.26271999999969</v>
      </c>
      <c r="CA85" s="14">
        <f t="shared" si="93"/>
        <v>45.158115787467068</v>
      </c>
      <c r="CB85" s="22">
        <f t="shared" si="64"/>
        <v>390.86628899650458</v>
      </c>
      <c r="CC85" s="62">
        <f t="shared" si="65"/>
        <v>662.37238062849156</v>
      </c>
      <c r="CD85" s="62">
        <f ca="1">AVERAGE(OFFSET($CC$3,0,0,'Données projet'!$E$12+1,1))-AVERAGE(OFFSET($H$3,0,0,'Données projet'!$E$12+1,1))</f>
        <v>325.33012514933523</v>
      </c>
      <c r="CE85" s="62">
        <f t="shared" si="94"/>
        <v>332.38915219929675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1.724918196718356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3.7623862120266059E-7</v>
      </c>
      <c r="CN85" s="24">
        <f t="shared" si="66"/>
        <v>1.7249185729569771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271.88474547710547</v>
      </c>
      <c r="S86" s="62">
        <f ca="1">AVERAGE(OFFSET($R$3,0,0,'Données projet'!$E$9+1,1))-AVERAGE(OFFSET($H$3,0,0,'Données projet'!$E$9+1,1))</f>
        <v>319.74550658573207</v>
      </c>
      <c r="T86" s="62">
        <f t="shared" si="88"/>
        <v>231.35643408122294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1.3280224520361568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6.7365153273746312E-8</v>
      </c>
      <c r="AC86" s="24">
        <f t="shared" si="57"/>
        <v>1.32802251940131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254.64144953102331</v>
      </c>
      <c r="AO86" s="62">
        <f t="shared" si="90"/>
        <v>361.41009011468407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0.56662050422776489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4.4598400904134444E-8</v>
      </c>
      <c r="AX86" s="23">
        <f t="shared" si="60"/>
        <v>0.56662054882616575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</v>
      </c>
      <c r="BD86" s="13">
        <f>IF('Données projet'!$A$88&gt;35,BD85+BC86-BL85,IF(A86&lt;'Données projet'!$A$88,$BA$205^A86,IF(A86='Données projet'!$A$88,'Données projet'!$B$88,BD85+BC86-BL85)))</f>
        <v>186.99999999999997</v>
      </c>
      <c r="BE86" s="14">
        <f>BD86*VLOOKUP('Données projet'!$B$11,Paramètres!$A$1:$I$89,3,0)*VLOOKUP('Données projet'!$B$11,Paramètres!$A$1:$I$89,5,0)</f>
        <v>195.45239999999998</v>
      </c>
      <c r="BF86" s="14">
        <f t="shared" si="91"/>
        <v>48.743408969320619</v>
      </c>
      <c r="BG86" s="22">
        <f t="shared" si="61"/>
        <v>425.30770062156671</v>
      </c>
      <c r="BH86" s="62">
        <f t="shared" si="62"/>
        <v>697.19244609867019</v>
      </c>
      <c r="BI86" s="62">
        <f ca="1">AVERAGE(OFFSET($BH$3,0,0,'Données projet'!$E$11+1,1))-AVERAGE(OFFSET($H$3,0,0,'Données projet'!$E$11+1,1))</f>
        <v>352.34406861564418</v>
      </c>
      <c r="BJ86" s="62">
        <f t="shared" si="92"/>
        <v>182.40373266220317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2.6</v>
      </c>
      <c r="BY86" s="13">
        <f>IF('Données projet'!$A$114&gt;35,BY85+BX86-CG85,IF(A86&lt;'Données projet'!$A$114,$BV$205^A86,IF(A86='Données projet'!$A$114,'Données projet'!$B$114,BY85+BX86-CG85)))</f>
        <v>207.79999999999961</v>
      </c>
      <c r="BZ86" s="14">
        <f>BY86*VLOOKUP('Données projet'!$B$12,Paramètres!$A$1:$I$89,3,0)*VLOOKUP('Données projet'!$B$12,Paramètres!$A$1:$I$89,5,0)</f>
        <v>181.53407999999968</v>
      </c>
      <c r="CA86" s="14">
        <f t="shared" si="93"/>
        <v>45.663321943731816</v>
      </c>
      <c r="CB86" s="22">
        <f t="shared" si="64"/>
        <v>395.7021417186657</v>
      </c>
      <c r="CC86" s="62">
        <f t="shared" si="65"/>
        <v>667.58688719576912</v>
      </c>
      <c r="CD86" s="62">
        <f ca="1">AVERAGE(OFFSET($CC$3,0,0,'Données projet'!$E$12+1,1))-AVERAGE(OFFSET($H$3,0,0,'Données projet'!$E$12+1,1))</f>
        <v>325.33012514933523</v>
      </c>
      <c r="CE86" s="62">
        <f t="shared" si="94"/>
        <v>332.38915219929675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1.6910936029769232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2.6604088039667806E-7</v>
      </c>
      <c r="CN86" s="24">
        <f t="shared" si="66"/>
        <v>1.6910938690178037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272.2568305245523</v>
      </c>
      <c r="S87" s="62">
        <f ca="1">AVERAGE(OFFSET($R$3,0,0,'Données projet'!$E$9+1,1))-AVERAGE(OFFSET($H$3,0,0,'Données projet'!$E$9+1,1))</f>
        <v>319.74550658573207</v>
      </c>
      <c r="T87" s="62">
        <f t="shared" si="88"/>
        <v>231.35643408122294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1.3019807417654412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4.763435669553717E-8</v>
      </c>
      <c r="AC87" s="24">
        <f t="shared" si="57"/>
        <v>1.3019807893997979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254.64144953102331</v>
      </c>
      <c r="AO87" s="62">
        <f t="shared" si="90"/>
        <v>361.41009011468407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0.55550942174424045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3.1535831709389717E-8</v>
      </c>
      <c r="AX87" s="23">
        <f t="shared" si="60"/>
        <v>0.55550945328007217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</v>
      </c>
      <c r="BD87" s="13">
        <f>IF('Données projet'!$A$88&gt;35,BD86+BC87-BL86,IF(A87&lt;'Données projet'!$A$88,$BA$205^A87,IF(A87='Données projet'!$A$88,'Données projet'!$B$88,BD86+BC87-BL86)))</f>
        <v>189.99999999999997</v>
      </c>
      <c r="BE87" s="14">
        <f>BD87*VLOOKUP('Données projet'!$B$11,Paramètres!$A$1:$I$89,3,0)*VLOOKUP('Données projet'!$B$11,Paramètres!$A$1:$I$89,5,0)</f>
        <v>198.58799999999999</v>
      </c>
      <c r="BF87" s="14">
        <f t="shared" si="91"/>
        <v>49.433725020229133</v>
      </c>
      <c r="BG87" s="22">
        <f t="shared" si="61"/>
        <v>431.97117107689905</v>
      </c>
      <c r="BH87" s="62">
        <f t="shared" si="62"/>
        <v>704.22800160144936</v>
      </c>
      <c r="BI87" s="62">
        <f ca="1">AVERAGE(OFFSET($BH$3,0,0,'Données projet'!$E$11+1,1))-AVERAGE(OFFSET($H$3,0,0,'Données projet'!$E$11+1,1))</f>
        <v>352.34406861564418</v>
      </c>
      <c r="BJ87" s="62">
        <f t="shared" si="92"/>
        <v>182.40373266220317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2.6</v>
      </c>
      <c r="BY87" s="13">
        <f>IF('Données projet'!$A$114&gt;35,BY86+BX87-CG86,IF(A87&lt;'Données projet'!$A$114,$BV$205^A87,IF(A87='Données projet'!$A$114,'Données projet'!$B$114,BY86+BX87-CG86)))</f>
        <v>210.39999999999961</v>
      </c>
      <c r="BZ87" s="14">
        <f>BY87*VLOOKUP('Données projet'!$B$12,Paramètres!$A$1:$I$89,3,0)*VLOOKUP('Données projet'!$B$12,Paramètres!$A$1:$I$89,5,0)</f>
        <v>183.80543999999966</v>
      </c>
      <c r="CA87" s="14">
        <f t="shared" si="93"/>
        <v>46.167792832805951</v>
      </c>
      <c r="CB87" s="22">
        <f t="shared" si="64"/>
        <v>400.53671385046977</v>
      </c>
      <c r="CC87" s="62">
        <f t="shared" si="65"/>
        <v>672.79354437502002</v>
      </c>
      <c r="CD87" s="62">
        <f ca="1">AVERAGE(OFFSET($CC$3,0,0,'Données projet'!$E$12+1,1))-AVERAGE(OFFSET($H$3,0,0,'Données projet'!$E$12+1,1))</f>
        <v>325.33012514933523</v>
      </c>
      <c r="CE87" s="62">
        <f t="shared" si="94"/>
        <v>332.38915219929675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1.6579322888877948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1.8811931060133029E-7</v>
      </c>
      <c r="CN87" s="24">
        <f t="shared" si="66"/>
        <v>1.6579324770071053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272.6224607282835</v>
      </c>
      <c r="S88" s="62">
        <f ca="1">AVERAGE(OFFSET($R$3,0,0,'Données projet'!$E$9+1,1))-AVERAGE(OFFSET($H$3,0,0,'Données projet'!$E$9+1,1))</f>
        <v>319.74550658573207</v>
      </c>
      <c r="T88" s="62">
        <f t="shared" si="88"/>
        <v>231.35643408122294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1.2764496935492595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3.3682576636873156E-8</v>
      </c>
      <c r="AC88" s="24">
        <f t="shared" si="57"/>
        <v>1.2764497272318363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254.64144953102331</v>
      </c>
      <c r="AO88" s="62">
        <f t="shared" si="90"/>
        <v>361.41009011468407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0.54461622081112671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2.2299200452067222E-8</v>
      </c>
      <c r="AX88" s="23">
        <f t="shared" si="60"/>
        <v>0.54461624311032719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193</v>
      </c>
      <c r="BB88" s="13">
        <f>VLOOKUP(A88,'Données projet'!$A$87:$I$107,9,0)</f>
        <v>3</v>
      </c>
      <c r="BC88" s="13">
        <f t="array" ref="BC88">INDEX(BB:BB,MIN(IF(ISNUMBER(BB88:BB284),ROW(BB88:BB284),"")))</f>
        <v>3</v>
      </c>
      <c r="BD88" s="13">
        <f>IF('Données projet'!$A$88&gt;35,BD87+BC88-BL87,IF(A88&lt;'Données projet'!$A$88,$BA$205^A88,IF(A88='Données projet'!$A$88,'Données projet'!$B$88,BD87+BC88-BL87)))</f>
        <v>192.99999999999997</v>
      </c>
      <c r="BE88" s="14">
        <f>BD88*VLOOKUP('Données projet'!$B$11,Paramètres!$A$1:$I$89,3,0)*VLOOKUP('Données projet'!$B$11,Paramètres!$A$1:$I$89,5,0)</f>
        <v>201.7236</v>
      </c>
      <c r="BF88" s="14">
        <f t="shared" si="91"/>
        <v>50.122773452392693</v>
      </c>
      <c r="BG88" s="22">
        <f t="shared" si="61"/>
        <v>438.63243376291729</v>
      </c>
      <c r="BH88" s="62">
        <f t="shared" si="62"/>
        <v>711.2548944911988</v>
      </c>
      <c r="BI88" s="62">
        <f ca="1">AVERAGE(OFFSET($BH$3,0,0,'Données projet'!$E$11+1,1))-AVERAGE(OFFSET($H$3,0,0,'Données projet'!$E$11+1,1))</f>
        <v>352.34406861564418</v>
      </c>
      <c r="BJ88" s="62">
        <f t="shared" si="92"/>
        <v>182.40373266220317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213</v>
      </c>
      <c r="BW88" s="13">
        <f>VLOOKUP(A88,'Données projet'!$A$113:$I$133,9,0)</f>
        <v>2.6</v>
      </c>
      <c r="BX88" s="13">
        <f t="array" ref="BX88">INDEX(BW:BW,MIN(IF(ISNUMBER(BW88:BW284),ROW(BW88:BW284),"")))</f>
        <v>2.6</v>
      </c>
      <c r="BY88" s="13">
        <f>IF('Données projet'!$A$114&gt;35,BY87+BX88-CG87,IF(A88&lt;'Données projet'!$A$114,$BV$205^A88,IF(A88='Données projet'!$A$114,'Données projet'!$B$114,BY87+BX88-CG87)))</f>
        <v>212.9999999999996</v>
      </c>
      <c r="BZ88" s="14">
        <f>BY88*VLOOKUP('Données projet'!$B$12,Paramètres!$A$1:$I$89,3,0)*VLOOKUP('Données projet'!$B$12,Paramètres!$A$1:$I$89,5,0)</f>
        <v>186.07679999999968</v>
      </c>
      <c r="CA88" s="14">
        <f t="shared" si="93"/>
        <v>46.671538591528588</v>
      </c>
      <c r="CB88" s="22">
        <f t="shared" si="64"/>
        <v>405.37002304691168</v>
      </c>
      <c r="CC88" s="62">
        <f t="shared" si="65"/>
        <v>677.99248377519325</v>
      </c>
      <c r="CD88" s="62">
        <f ca="1">AVERAGE(OFFSET($CC$3,0,0,'Données projet'!$E$12+1,1))-AVERAGE(OFFSET($H$3,0,0,'Données projet'!$E$12+1,1))</f>
        <v>325.33012514933523</v>
      </c>
      <c r="CE88" s="62">
        <f t="shared" si="94"/>
        <v>332.38915219929675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10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1.6254212479415497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1.3302044019833903E-7</v>
      </c>
      <c r="CN88" s="24">
        <f t="shared" si="66"/>
        <v>1.62542138096199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272.98174806540669</v>
      </c>
      <c r="S89" s="62">
        <f ca="1">AVERAGE(OFFSET($R$3,0,0,'Données projet'!$E$9+1,1))-AVERAGE(OFFSET($H$3,0,0,'Données projet'!$E$9+1,1))</f>
        <v>319.74550658573207</v>
      </c>
      <c r="T89" s="62">
        <f t="shared" si="88"/>
        <v>231.35643408122294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1.2514192936161954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2.3817178347768585E-8</v>
      </c>
      <c r="AC89" s="24">
        <f t="shared" si="57"/>
        <v>1.2514193174333739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254.64144953102331</v>
      </c>
      <c r="AO89" s="62">
        <f t="shared" si="90"/>
        <v>361.41009011468407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0.53393662890411486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1.5767915854694859E-8</v>
      </c>
      <c r="AX89" s="23">
        <f t="shared" si="60"/>
        <v>0.53393664467203072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184.59999999999997</v>
      </c>
      <c r="BE89" s="14">
        <f>BD89*VLOOKUP('Données projet'!$B$11,Paramètres!$A$1:$I$89,3,0)*VLOOKUP('Données projet'!$B$11,Paramètres!$A$1:$I$89,5,0)</f>
        <v>192.94391999999999</v>
      </c>
      <c r="BF89" s="14">
        <f t="shared" si="91"/>
        <v>48.190228197013468</v>
      </c>
      <c r="BG89" s="22">
        <f t="shared" si="61"/>
        <v>419.9753081097985</v>
      </c>
      <c r="BH89" s="62">
        <f t="shared" si="62"/>
        <v>692.95705617520321</v>
      </c>
      <c r="BI89" s="62">
        <f ca="1">AVERAGE(OFFSET($BH$3,0,0,'Données projet'!$E$11+1,1))-AVERAGE(OFFSET($H$3,0,0,'Données projet'!$E$11+1,1))</f>
        <v>352.34406861564418</v>
      </c>
      <c r="BJ89" s="62">
        <f t="shared" si="92"/>
        <v>182.40373266220317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2.4</v>
      </c>
      <c r="BY89" s="13">
        <f>IF('Données projet'!$A$114&gt;35,BY88+BX89-CG88,IF(A89&lt;'Données projet'!$A$114,$BV$205^A89,IF(A89='Données projet'!$A$114,'Données projet'!$B$114,BY88+BX89-CG88)))</f>
        <v>205.39999999999961</v>
      </c>
      <c r="BZ89" s="14">
        <f>BY89*VLOOKUP('Données projet'!$B$12,Paramètres!$A$1:$I$89,3,0)*VLOOKUP('Données projet'!$B$12,Paramètres!$A$1:$I$89,5,0)</f>
        <v>179.43743999999967</v>
      </c>
      <c r="CA89" s="14">
        <f t="shared" si="93"/>
        <v>45.197004138831538</v>
      </c>
      <c r="CB89" s="22">
        <f t="shared" si="64"/>
        <v>391.23832354179763</v>
      </c>
      <c r="CC89" s="62">
        <f t="shared" si="65"/>
        <v>664.22007160720227</v>
      </c>
      <c r="CD89" s="62">
        <f ca="1">AVERAGE(OFFSET($CC$3,0,0,'Données projet'!$E$12+1,1))-AVERAGE(OFFSET($H$3,0,0,'Données projet'!$E$12+1,1))</f>
        <v>325.33012514933523</v>
      </c>
      <c r="CE89" s="62">
        <f t="shared" si="94"/>
        <v>332.38915219929675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1.5935477286784836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9.4059655300665147E-8</v>
      </c>
      <c r="CN89" s="24">
        <f t="shared" si="66"/>
        <v>1.593547822738139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273.33480257047682</v>
      </c>
      <c r="S90" s="62">
        <f ca="1">AVERAGE(OFFSET($R$3,0,0,'Données projet'!$E$9+1,1))-AVERAGE(OFFSET($H$3,0,0,'Données projet'!$E$9+1,1))</f>
        <v>319.74550658573207</v>
      </c>
      <c r="T90" s="62">
        <f t="shared" si="88"/>
        <v>231.35643408122294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1.2268797245587824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1.6841288318436578E-8</v>
      </c>
      <c r="AC90" s="24">
        <f t="shared" si="57"/>
        <v>1.2268797414000707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254.64144953102331</v>
      </c>
      <c r="AO90" s="62">
        <f t="shared" si="90"/>
        <v>361.41009011468407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0.52346645728049168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1.1149600226033611E-8</v>
      </c>
      <c r="AX90" s="23">
        <f t="shared" si="60"/>
        <v>0.52346646843009192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190.19999999999996</v>
      </c>
      <c r="BE90" s="14">
        <f>BD90*VLOOKUP('Données projet'!$B$11,Paramètres!$A$1:$I$89,3,0)*VLOOKUP('Données projet'!$B$11,Paramètres!$A$1:$I$89,5,0)</f>
        <v>198.79703999999998</v>
      </c>
      <c r="BF90" s="14">
        <f t="shared" si="91"/>
        <v>49.479700772358441</v>
      </c>
      <c r="BG90" s="22">
        <f t="shared" si="61"/>
        <v>432.41532351185759</v>
      </c>
      <c r="BH90" s="62">
        <f t="shared" si="62"/>
        <v>705.75012608233237</v>
      </c>
      <c r="BI90" s="62">
        <f ca="1">AVERAGE(OFFSET($BH$3,0,0,'Données projet'!$E$11+1,1))-AVERAGE(OFFSET($H$3,0,0,'Données projet'!$E$11+1,1))</f>
        <v>352.34406861564418</v>
      </c>
      <c r="BJ90" s="62">
        <f t="shared" si="92"/>
        <v>182.40373266220317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2.4</v>
      </c>
      <c r="BY90" s="13">
        <f>IF('Données projet'!$A$114&gt;35,BY89+BX90-CG89,IF(A90&lt;'Données projet'!$A$114,$BV$205^A90,IF(A90='Données projet'!$A$114,'Données projet'!$B$114,BY89+BX90-CG89)))</f>
        <v>207.79999999999961</v>
      </c>
      <c r="BZ90" s="14">
        <f>BY90*VLOOKUP('Données projet'!$B$12,Paramètres!$A$1:$I$89,3,0)*VLOOKUP('Données projet'!$B$12,Paramètres!$A$1:$I$89,5,0)</f>
        <v>181.53407999999968</v>
      </c>
      <c r="CA90" s="14">
        <f t="shared" si="93"/>
        <v>45.663321943731816</v>
      </c>
      <c r="CB90" s="22">
        <f t="shared" si="64"/>
        <v>395.7021417186657</v>
      </c>
      <c r="CC90" s="62">
        <f t="shared" si="65"/>
        <v>669.03694428914059</v>
      </c>
      <c r="CD90" s="62">
        <f ca="1">AVERAGE(OFFSET($CC$3,0,0,'Données projet'!$E$12+1,1))-AVERAGE(OFFSET($H$3,0,0,'Données projet'!$E$12+1,1))</f>
        <v>325.33012514933523</v>
      </c>
      <c r="CE90" s="62">
        <f t="shared" si="94"/>
        <v>332.38915219929675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1.5622992296872391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6.6510220099169514E-8</v>
      </c>
      <c r="CN90" s="24">
        <f t="shared" si="66"/>
        <v>1.5622992961974591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273.68173236919569</v>
      </c>
      <c r="S91" s="62">
        <f ca="1">AVERAGE(OFFSET($R$3,0,0,'Données projet'!$E$9+1,1))-AVERAGE(OFFSET($H$3,0,0,'Données projet'!$E$9+1,1))</f>
        <v>319.74550658573207</v>
      </c>
      <c r="T91" s="62">
        <f t="shared" si="88"/>
        <v>231.35643408122294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1.202821361482926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1.1908589173884292E-8</v>
      </c>
      <c r="AC91" s="24">
        <f t="shared" si="57"/>
        <v>1.2028213733915152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254.64144953102331</v>
      </c>
      <c r="AO91" s="62">
        <f t="shared" si="90"/>
        <v>361.41009011468407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0.51320159933623355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7.8839579273474293E-9</v>
      </c>
      <c r="AX91" s="23">
        <f t="shared" si="60"/>
        <v>0.51320160722019148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195.79999999999995</v>
      </c>
      <c r="BE91" s="14">
        <f>BD91*VLOOKUP('Données projet'!$B$11,Paramètres!$A$1:$I$89,3,0)*VLOOKUP('Données projet'!$B$11,Paramètres!$A$1:$I$89,5,0)</f>
        <v>204.65015999999997</v>
      </c>
      <c r="BF91" s="14">
        <f t="shared" si="91"/>
        <v>50.764761048762892</v>
      </c>
      <c r="BG91" s="22">
        <f t="shared" si="61"/>
        <v>444.84765415992865</v>
      </c>
      <c r="BH91" s="62">
        <f t="shared" si="62"/>
        <v>718.52938652912235</v>
      </c>
      <c r="BI91" s="62">
        <f ca="1">AVERAGE(OFFSET($BH$3,0,0,'Données projet'!$E$11+1,1))-AVERAGE(OFFSET($H$3,0,0,'Données projet'!$E$11+1,1))</f>
        <v>352.34406861564418</v>
      </c>
      <c r="BJ91" s="62">
        <f t="shared" si="92"/>
        <v>182.40373266220317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2.4</v>
      </c>
      <c r="BY91" s="13">
        <f>IF('Données projet'!$A$114&gt;35,BY90+BX91-CG90,IF(A91&lt;'Données projet'!$A$114,$BV$205^A91,IF(A91='Données projet'!$A$114,'Données projet'!$B$114,BY90+BX91-CG90)))</f>
        <v>210.19999999999962</v>
      </c>
      <c r="BZ91" s="14">
        <f>BY91*VLOOKUP('Données projet'!$B$12,Paramètres!$A$1:$I$89,3,0)*VLOOKUP('Données projet'!$B$12,Paramètres!$A$1:$I$89,5,0)</f>
        <v>183.63071999999971</v>
      </c>
      <c r="CA91" s="14">
        <f t="shared" si="93"/>
        <v>46.129013251634404</v>
      </c>
      <c r="CB91" s="22">
        <f t="shared" si="64"/>
        <v>400.16486874659608</v>
      </c>
      <c r="CC91" s="62">
        <f t="shared" si="65"/>
        <v>673.84660111578978</v>
      </c>
      <c r="CD91" s="62">
        <f ca="1">AVERAGE(OFFSET($CC$3,0,0,'Données projet'!$E$12+1,1))-AVERAGE(OFFSET($H$3,0,0,'Données projet'!$E$12+1,1))</f>
        <v>325.33012514933523</v>
      </c>
      <c r="CE91" s="62">
        <f t="shared" si="94"/>
        <v>332.38915219929675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1.5316634947015106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4.7029827650332573E-8</v>
      </c>
      <c r="CN91" s="24">
        <f t="shared" si="66"/>
        <v>1.5316635417313382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274.02264371152557</v>
      </c>
      <c r="S92" s="62">
        <f ca="1">AVERAGE(OFFSET($R$3,0,0,'Données projet'!$E$9+1,1))-AVERAGE(OFFSET($H$3,0,0,'Données projet'!$E$9+1,1))</f>
        <v>319.74550658573207</v>
      </c>
      <c r="T92" s="62">
        <f t="shared" si="88"/>
        <v>231.35643408122294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1.1792347682328346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8.420644159218289E-9</v>
      </c>
      <c r="AC92" s="24">
        <f t="shared" si="57"/>
        <v>1.1792347766534788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254.64144953102331</v>
      </c>
      <c r="AO92" s="62">
        <f t="shared" si="90"/>
        <v>361.41009011468407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0.50313802899531723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5.5748001130168055E-9</v>
      </c>
      <c r="AX92" s="23">
        <f t="shared" si="60"/>
        <v>0.5031380345701173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201.39999999999995</v>
      </c>
      <c r="BE92" s="14">
        <f>BD92*VLOOKUP('Données projet'!$B$11,Paramètres!$A$1:$I$89,3,0)*VLOOKUP('Données projet'!$B$11,Paramètres!$A$1:$I$89,5,0)</f>
        <v>210.50327999999993</v>
      </c>
      <c r="BF92" s="14">
        <f t="shared" si="91"/>
        <v>52.045549714335849</v>
      </c>
      <c r="BG92" s="22">
        <f t="shared" si="61"/>
        <v>457.27254508580148</v>
      </c>
      <c r="BH92" s="62">
        <f t="shared" si="62"/>
        <v>731.29518879732507</v>
      </c>
      <c r="BI92" s="62">
        <f ca="1">AVERAGE(OFFSET($BH$3,0,0,'Données projet'!$E$11+1,1))-AVERAGE(OFFSET($H$3,0,0,'Données projet'!$E$11+1,1))</f>
        <v>352.34406861564418</v>
      </c>
      <c r="BJ92" s="62">
        <f t="shared" si="92"/>
        <v>182.40373266220317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2.4</v>
      </c>
      <c r="BY92" s="13">
        <f>IF('Données projet'!$A$114&gt;35,BY91+BX92-CG91,IF(A92&lt;'Données projet'!$A$114,$BV$205^A92,IF(A92='Données projet'!$A$114,'Données projet'!$B$114,BY91+BX92-CG91)))</f>
        <v>212.59999999999962</v>
      </c>
      <c r="BZ92" s="14">
        <f>BY92*VLOOKUP('Données projet'!$B$12,Paramètres!$A$1:$I$89,3,0)*VLOOKUP('Données projet'!$B$12,Paramètres!$A$1:$I$89,5,0)</f>
        <v>185.72735999999969</v>
      </c>
      <c r="CA92" s="14">
        <f t="shared" si="93"/>
        <v>46.594086043363717</v>
      </c>
      <c r="CB92" s="22">
        <f t="shared" si="64"/>
        <v>404.62651852552455</v>
      </c>
      <c r="CC92" s="62">
        <f t="shared" si="65"/>
        <v>678.64916223704813</v>
      </c>
      <c r="CD92" s="62">
        <f ca="1">AVERAGE(OFFSET($CC$3,0,0,'Données projet'!$E$12+1,1))-AVERAGE(OFFSET($H$3,0,0,'Données projet'!$E$12+1,1))</f>
        <v>325.33012514933523</v>
      </c>
      <c r="CE92" s="62">
        <f t="shared" si="94"/>
        <v>332.38915219929675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1.501628507792899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3.3255110049584757E-8</v>
      </c>
      <c r="CN92" s="24">
        <f t="shared" si="66"/>
        <v>1.501628541048009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274.35764100422966</v>
      </c>
      <c r="S93" s="62">
        <f ca="1">AVERAGE(OFFSET($R$3,0,0,'Données projet'!$E$9+1,1))-AVERAGE(OFFSET($H$3,0,0,'Données projet'!$E$9+1,1))</f>
        <v>319.74550658573207</v>
      </c>
      <c r="T93" s="62">
        <f t="shared" si="88"/>
        <v>231.35643408122294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1.1561106936899761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5.9542945869421462E-9</v>
      </c>
      <c r="AC93" s="24">
        <f t="shared" si="57"/>
        <v>1.1561106996442707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254.64144953102331</v>
      </c>
      <c r="AO93" s="62">
        <f t="shared" si="90"/>
        <v>361.41009011468407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0.49327179913061447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3.9419789636737146E-9</v>
      </c>
      <c r="AX93" s="23">
        <f t="shared" si="60"/>
        <v>0.49327180307259344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206.99999999999994</v>
      </c>
      <c r="BE93" s="14">
        <f>BD93*VLOOKUP('Données projet'!$B$11,Paramètres!$A$1:$I$89,3,0)*VLOOKUP('Données projet'!$B$11,Paramètres!$A$1:$I$89,5,0)</f>
        <v>216.35639999999995</v>
      </c>
      <c r="BF93" s="14">
        <f t="shared" si="91"/>
        <v>53.322199188237242</v>
      </c>
      <c r="BG93" s="22">
        <f t="shared" si="61"/>
        <v>469.69022691951312</v>
      </c>
      <c r="BH93" s="62">
        <f t="shared" si="62"/>
        <v>744.0478679237408</v>
      </c>
      <c r="BI93" s="62">
        <f ca="1">AVERAGE(OFFSET($BH$3,0,0,'Données projet'!$E$11+1,1))-AVERAGE(OFFSET($H$3,0,0,'Données projet'!$E$11+1,1))</f>
        <v>352.34406861564418</v>
      </c>
      <c r="BJ93" s="62">
        <f t="shared" si="92"/>
        <v>182.40373266220317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215</v>
      </c>
      <c r="BW93" s="13">
        <f>VLOOKUP(A93,'Données projet'!$A$113:$I$133,9,0)</f>
        <v>2.4</v>
      </c>
      <c r="BX93" s="13">
        <f t="array" ref="BX93">INDEX(BW:BW,MIN(IF(ISNUMBER(BW93:BW289),ROW(BW93:BW289),"")))</f>
        <v>2.4</v>
      </c>
      <c r="BY93" s="13">
        <f>IF('Données projet'!$A$114&gt;35,BY92+BX93-CG92,IF(A93&lt;'Données projet'!$A$114,$BV$205^A93,IF(A93='Données projet'!$A$114,'Données projet'!$B$114,BY92+BX93-CG92)))</f>
        <v>214.99999999999963</v>
      </c>
      <c r="BZ93" s="14">
        <f>BY93*VLOOKUP('Données projet'!$B$12,Paramètres!$A$1:$I$89,3,0)*VLOOKUP('Données projet'!$B$12,Paramètres!$A$1:$I$89,5,0)</f>
        <v>187.8239999999997</v>
      </c>
      <c r="CA93" s="14">
        <f t="shared" si="93"/>
        <v>47.058548109182645</v>
      </c>
      <c r="CB93" s="22">
        <f t="shared" si="64"/>
        <v>409.08710462349262</v>
      </c>
      <c r="CC93" s="62">
        <f t="shared" si="65"/>
        <v>683.44474562772029</v>
      </c>
      <c r="CD93" s="62">
        <f ca="1">AVERAGE(OFFSET($CC$3,0,0,'Données projet'!$E$12+1,1))-AVERAGE(OFFSET($H$3,0,0,'Données projet'!$E$12+1,1))</f>
        <v>325.33012514933523</v>
      </c>
      <c r="CE93" s="62">
        <f t="shared" si="94"/>
        <v>332.38915219929675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215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1.4721824886580321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2.3514913825166287E-8</v>
      </c>
      <c r="CN93" s="24">
        <f t="shared" si="66"/>
        <v>1.4721825121729459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274.68682684284704</v>
      </c>
      <c r="S94" s="62">
        <f ca="1">AVERAGE(OFFSET($R$3,0,0,'Données projet'!$E$9+1,1))-AVERAGE(OFFSET($H$3,0,0,'Données projet'!$E$9+1,1))</f>
        <v>319.74550658573207</v>
      </c>
      <c r="T94" s="62">
        <f t="shared" si="88"/>
        <v>231.35643408122294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1.1334400681446102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4.2103220796091445E-9</v>
      </c>
      <c r="AC94" s="24">
        <f t="shared" si="57"/>
        <v>1.1334400723549323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254.64144953102331</v>
      </c>
      <c r="AO94" s="62">
        <f t="shared" si="90"/>
        <v>361.41009011468407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0.48359904001575255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2.7874000565084028E-9</v>
      </c>
      <c r="AX94" s="23">
        <f t="shared" si="60"/>
        <v>0.48359904280315258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</v>
      </c>
      <c r="BD94" s="13">
        <f>IF('Données projet'!$A$88&gt;35,BD93+BC94-BL93,IF(A94&lt;'Données projet'!$A$88,$BA$205^A94,IF(A94='Données projet'!$A$88,'Données projet'!$B$88,BD93+BC94-BL93)))</f>
        <v>196.79999999999995</v>
      </c>
      <c r="BE94" s="14">
        <f>BD94*VLOOKUP('Données projet'!$B$11,Paramètres!$A$1:$I$89,3,0)*VLOOKUP('Données projet'!$B$11,Paramètres!$A$1:$I$89,5,0)</f>
        <v>205.69535999999997</v>
      </c>
      <c r="BF94" s="14">
        <f t="shared" si="91"/>
        <v>50.993782678591273</v>
      </c>
      <c r="BG94" s="22">
        <f t="shared" si="61"/>
        <v>447.06692349854637</v>
      </c>
      <c r="BH94" s="62">
        <f t="shared" si="62"/>
        <v>721.75375034139142</v>
      </c>
      <c r="BI94" s="62">
        <f ca="1">AVERAGE(OFFSET($BH$3,0,0,'Données projet'!$E$11+1,1))-AVERAGE(OFFSET($H$3,0,0,'Données projet'!$E$11+1,1))</f>
        <v>352.34406861564418</v>
      </c>
      <c r="BJ94" s="62">
        <f t="shared" si="92"/>
        <v>182.40373266220317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-3.694822225952521E-13</v>
      </c>
      <c r="BZ94" s="14">
        <f>BY94*VLOOKUP('Données projet'!$B$12,Paramètres!$A$1:$I$89,3,0)*VLOOKUP('Données projet'!$B$12,Paramètres!$A$1:$I$89,5,0)</f>
        <v>-3.2277966965921228E-13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325.33012514933523</v>
      </c>
      <c r="CE94" s="62">
        <f t="shared" si="94"/>
        <v>332.38915219929675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1.4433138879981018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1.6627555024792379E-8</v>
      </c>
      <c r="CN94" s="24">
        <f t="shared" si="66"/>
        <v>1.4433139046256569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275.01030204311371</v>
      </c>
      <c r="S95" s="62">
        <f ca="1">AVERAGE(OFFSET($R$3,0,0,'Données projet'!$E$9+1,1))-AVERAGE(OFFSET($H$3,0,0,'Données projet'!$E$9+1,1))</f>
        <v>319.74550658573207</v>
      </c>
      <c r="T95" s="62">
        <f t="shared" si="88"/>
        <v>231.35643408122294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1.1112139997384727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2.9771472934710731E-9</v>
      </c>
      <c r="AC95" s="24">
        <f t="shared" si="57"/>
        <v>1.1112140027156199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254.64144953102331</v>
      </c>
      <c r="AO95" s="62">
        <f t="shared" si="90"/>
        <v>361.41009011468407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0.47411595780733257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1.9709894818368573E-9</v>
      </c>
      <c r="AX95" s="23">
        <f t="shared" si="60"/>
        <v>0.47411595977832205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</v>
      </c>
      <c r="BD95" s="13">
        <f>IF('Données projet'!$A$88&gt;35,BD94+BC95-BL94,IF(A95&lt;'Données projet'!$A$88,$BA$205^A95,IF(A95='Données projet'!$A$88,'Données projet'!$B$88,BD94+BC95-BL94)))</f>
        <v>200.59999999999997</v>
      </c>
      <c r="BE95" s="14">
        <f>BD95*VLOOKUP('Données projet'!$B$11,Paramètres!$A$1:$I$89,3,0)*VLOOKUP('Données projet'!$B$11,Paramètres!$A$1:$I$89,5,0)</f>
        <v>209.66711999999998</v>
      </c>
      <c r="BF95" s="14">
        <f t="shared" si="91"/>
        <v>51.862836328303665</v>
      </c>
      <c r="BG95" s="22">
        <f t="shared" si="61"/>
        <v>455.49800727179553</v>
      </c>
      <c r="BH95" s="62">
        <f t="shared" si="62"/>
        <v>730.50830931490725</v>
      </c>
      <c r="BI95" s="62">
        <f ca="1">AVERAGE(OFFSET($BH$3,0,0,'Données projet'!$E$11+1,1))-AVERAGE(OFFSET($H$3,0,0,'Données projet'!$E$11+1,1))</f>
        <v>352.34406861564418</v>
      </c>
      <c r="BJ95" s="62">
        <f t="shared" si="92"/>
        <v>182.40373266220317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-3.694822225952521E-13</v>
      </c>
      <c r="BZ95" s="14">
        <f>BY95*VLOOKUP('Données projet'!$B$12,Paramètres!$A$1:$I$89,3,0)*VLOOKUP('Données projet'!$B$12,Paramètres!$A$1:$I$89,5,0)</f>
        <v>-3.2277966965921228E-13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325.33012514933523</v>
      </c>
      <c r="CE95" s="62">
        <f t="shared" si="94"/>
        <v>332.38915219929675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1.415011382989005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1.1757456912583143E-8</v>
      </c>
      <c r="CN95" s="24">
        <f t="shared" si="66"/>
        <v>1.415011394746462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275.32816567183795</v>
      </c>
      <c r="S96" s="62">
        <f ca="1">AVERAGE(OFFSET($R$3,0,0,'Données projet'!$E$9+1,1))-AVERAGE(OFFSET($H$3,0,0,'Données projet'!$E$9+1,1))</f>
        <v>319.74550658573207</v>
      </c>
      <c r="T96" s="62">
        <f t="shared" si="88"/>
        <v>231.35643408122294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1.0894237709772165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2.1051610398045723E-9</v>
      </c>
      <c r="AC96" s="24">
        <f t="shared" si="57"/>
        <v>1.0894237730823775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254.64144953102331</v>
      </c>
      <c r="AO96" s="62">
        <f t="shared" si="90"/>
        <v>361.41009011468407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0.46481883305691069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1.3937000282542014E-9</v>
      </c>
      <c r="AX96" s="23">
        <f t="shared" si="60"/>
        <v>0.46481883445061073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</v>
      </c>
      <c r="BD96" s="13">
        <f>IF('Données projet'!$A$88&gt;35,BD95+BC96-BL95,IF(A96&lt;'Données projet'!$A$88,$BA$205^A96,IF(A96='Données projet'!$A$88,'Données projet'!$B$88,BD95+BC96-BL95)))</f>
        <v>204.39999999999998</v>
      </c>
      <c r="BE96" s="14">
        <f>BD96*VLOOKUP('Données projet'!$B$11,Paramètres!$A$1:$I$89,3,0)*VLOOKUP('Données projet'!$B$11,Paramètres!$A$1:$I$89,5,0)</f>
        <v>213.63887999999997</v>
      </c>
      <c r="BF96" s="14">
        <f t="shared" si="91"/>
        <v>52.729975717788122</v>
      </c>
      <c r="BG96" s="22">
        <f t="shared" si="61"/>
        <v>463.92575704181422</v>
      </c>
      <c r="BH96" s="62">
        <f t="shared" si="62"/>
        <v>739.25392271365013</v>
      </c>
      <c r="BI96" s="62">
        <f ca="1">AVERAGE(OFFSET($BH$3,0,0,'Données projet'!$E$11+1,1))-AVERAGE(OFFSET($H$3,0,0,'Données projet'!$E$11+1,1))</f>
        <v>352.34406861564418</v>
      </c>
      <c r="BJ96" s="62">
        <f t="shared" si="92"/>
        <v>182.40373266220317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-3.694822225952521E-13</v>
      </c>
      <c r="BZ96" s="14">
        <f>BY96*VLOOKUP('Données projet'!$B$12,Paramètres!$A$1:$I$89,3,0)*VLOOKUP('Données projet'!$B$12,Paramètres!$A$1:$I$89,5,0)</f>
        <v>-3.2277966965921228E-13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325.33012514933523</v>
      </c>
      <c r="CE96" s="62">
        <f t="shared" si="94"/>
        <v>332.38915219929675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1.3872638728403131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8.3137775123961893E-9</v>
      </c>
      <c r="CN96" s="24">
        <f t="shared" si="66"/>
        <v>1.3872638811540905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275.64051507724048</v>
      </c>
      <c r="S97" s="62">
        <f ca="1">AVERAGE(OFFSET($R$3,0,0,'Données projet'!$E$9+1,1))-AVERAGE(OFFSET($H$3,0,0,'Données projet'!$E$9+1,1))</f>
        <v>319.74550658573207</v>
      </c>
      <c r="T97" s="62">
        <f t="shared" si="88"/>
        <v>231.35643408122294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1.0680608353112413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1.4885736467355366E-9</v>
      </c>
      <c r="AC97" s="24">
        <f t="shared" si="57"/>
        <v>1.068060836799815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254.64144953102331</v>
      </c>
      <c r="AO97" s="62">
        <f t="shared" si="90"/>
        <v>361.41009011468407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0.45570401925215842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9.8549474091842866E-10</v>
      </c>
      <c r="AX97" s="23">
        <f t="shared" si="60"/>
        <v>0.45570402023765316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</v>
      </c>
      <c r="BD97" s="13">
        <f>IF('Données projet'!$A$88&gt;35,BD96+BC97-BL96,IF(A97&lt;'Données projet'!$A$88,$BA$205^A97,IF(A97='Données projet'!$A$88,'Données projet'!$B$88,BD96+BC97-BL96)))</f>
        <v>208.2</v>
      </c>
      <c r="BE97" s="14">
        <f>BD97*VLOOKUP('Données projet'!$B$11,Paramètres!$A$1:$I$89,3,0)*VLOOKUP('Données projet'!$B$11,Paramètres!$A$1:$I$89,5,0)</f>
        <v>217.61064000000002</v>
      </c>
      <c r="BF97" s="14">
        <f t="shared" si="91"/>
        <v>53.595240539151249</v>
      </c>
      <c r="BG97" s="22">
        <f t="shared" si="61"/>
        <v>472.35024193902177</v>
      </c>
      <c r="BH97" s="62">
        <f t="shared" si="62"/>
        <v>747.9907570162602</v>
      </c>
      <c r="BI97" s="62">
        <f ca="1">AVERAGE(OFFSET($BH$3,0,0,'Données projet'!$E$11+1,1))-AVERAGE(OFFSET($H$3,0,0,'Données projet'!$E$11+1,1))</f>
        <v>352.34406861564418</v>
      </c>
      <c r="BJ97" s="62">
        <f t="shared" si="92"/>
        <v>182.40373266220317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-3.694822225952521E-13</v>
      </c>
      <c r="BZ97" s="14">
        <f>BY97*VLOOKUP('Données projet'!$B$12,Paramètres!$A$1:$I$89,3,0)*VLOOKUP('Données projet'!$B$12,Paramètres!$A$1:$I$89,5,0)</f>
        <v>-3.2277966965921228E-13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325.33012514933523</v>
      </c>
      <c r="CE97" s="62">
        <f t="shared" si="94"/>
        <v>332.38915219929675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1.3600604744413267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5.8787284562915717E-9</v>
      </c>
      <c r="CN97" s="24">
        <f t="shared" si="66"/>
        <v>1.3600604803200551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275.94744591876793</v>
      </c>
      <c r="S98" s="62">
        <f ca="1">AVERAGE(OFFSET($R$3,0,0,'Données projet'!$E$9+1,1))-AVERAGE(OFFSET($H$3,0,0,'Données projet'!$E$9+1,1))</f>
        <v>319.74550658573207</v>
      </c>
      <c r="T98" s="62">
        <f t="shared" si="88"/>
        <v>231.35643408122294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1.0471168137835718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1.0525805199022861E-9</v>
      </c>
      <c r="AC98" s="24">
        <f t="shared" si="57"/>
        <v>1.0471168148361523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254.64144953102331</v>
      </c>
      <c r="AO98" s="62">
        <f t="shared" si="90"/>
        <v>361.41009011468407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0.44676794138662984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6.9685001412710069E-10</v>
      </c>
      <c r="AX98" s="23">
        <f t="shared" si="60"/>
        <v>0.44676794208347986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212</v>
      </c>
      <c r="BB98" s="13">
        <f>VLOOKUP(A98,'Données projet'!$A$87:$I$107,9,0)</f>
        <v>3.8</v>
      </c>
      <c r="BC98" s="13">
        <f t="array" ref="BC98">INDEX(BB:BB,MIN(IF(ISNUMBER(BB98:BB294),ROW(BB98:BB294),"")))</f>
        <v>3.8</v>
      </c>
      <c r="BD98" s="13">
        <f>IF('Données projet'!$A$88&gt;35,BD97+BC98-BL97,IF(A98&lt;'Données projet'!$A$88,$BA$205^A98,IF(A98='Données projet'!$A$88,'Données projet'!$B$88,BD97+BC98-BL97)))</f>
        <v>212</v>
      </c>
      <c r="BE98" s="14">
        <f>BD98*VLOOKUP('Données projet'!$B$11,Paramètres!$A$1:$I$89,3,0)*VLOOKUP('Données projet'!$B$11,Paramètres!$A$1:$I$89,5,0)</f>
        <v>221.58240000000004</v>
      </c>
      <c r="BF98" s="14">
        <f t="shared" si="91"/>
        <v>54.458668952651578</v>
      </c>
      <c r="BG98" s="22">
        <f t="shared" si="61"/>
        <v>480.77152842586815</v>
      </c>
      <c r="BH98" s="62">
        <f t="shared" si="62"/>
        <v>756.71897434463403</v>
      </c>
      <c r="BI98" s="62">
        <f ca="1">AVERAGE(OFFSET($BH$3,0,0,'Données projet'!$E$11+1,1))-AVERAGE(OFFSET($H$3,0,0,'Données projet'!$E$11+1,1))</f>
        <v>352.34406861564418</v>
      </c>
      <c r="BJ98" s="62">
        <f t="shared" si="92"/>
        <v>182.40373266220317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-3.694822225952521E-13</v>
      </c>
      <c r="BZ98" s="14">
        <f>BY98*VLOOKUP('Données projet'!$B$12,Paramètres!$A$1:$I$89,3,0)*VLOOKUP('Données projet'!$B$12,Paramètres!$A$1:$I$89,5,0)</f>
        <v>-3.2277966965921228E-13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325.33012514933523</v>
      </c>
      <c r="CE98" s="62">
        <f t="shared" si="94"/>
        <v>332.38915219929675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1.3333905180925099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4.1568887561980946E-9</v>
      </c>
      <c r="CN98" s="24">
        <f t="shared" si="66"/>
        <v>1.3333905222493987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276.24905219638941</v>
      </c>
      <c r="S99" s="62">
        <f ca="1">AVERAGE(OFFSET($R$3,0,0,'Données projet'!$E$9+1,1))-AVERAGE(OFFSET($H$3,0,0,'Données projet'!$E$9+1,1))</f>
        <v>319.74550658573207</v>
      </c>
      <c r="T99" s="62">
        <f t="shared" si="88"/>
        <v>231.35643408122294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1.0265834917434682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7.4428682336776828E-10</v>
      </c>
      <c r="AC99" s="24">
        <f t="shared" si="57"/>
        <v>1.026583492487755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254.64144953102331</v>
      </c>
      <c r="AO99" s="62">
        <f t="shared" si="90"/>
        <v>361.41009011468407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0.43800709455757497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4.9274737045921433E-10</v>
      </c>
      <c r="AX99" s="23">
        <f t="shared" si="60"/>
        <v>0.43800709505032231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3.4</v>
      </c>
      <c r="BD99" s="13">
        <f>IF('Données projet'!$A$88&gt;35,BD98+BC99-BL98,IF(A99&lt;'Données projet'!$A$88,$BA$205^A99,IF(A99='Données projet'!$A$88,'Données projet'!$B$88,BD98+BC99-BL98)))</f>
        <v>201.4</v>
      </c>
      <c r="BE99" s="14">
        <f>BD99*VLOOKUP('Données projet'!$B$11,Paramètres!$A$1:$I$89,3,0)*VLOOKUP('Données projet'!$B$11,Paramètres!$A$1:$I$89,5,0)</f>
        <v>210.50328000000005</v>
      </c>
      <c r="BF99" s="14">
        <f t="shared" si="91"/>
        <v>52.045549714335849</v>
      </c>
      <c r="BG99" s="22">
        <f t="shared" si="61"/>
        <v>457.27254508580171</v>
      </c>
      <c r="BH99" s="62">
        <f t="shared" si="62"/>
        <v>733.52159728218908</v>
      </c>
      <c r="BI99" s="62">
        <f ca="1">AVERAGE(OFFSET($BH$3,0,0,'Données projet'!$E$11+1,1))-AVERAGE(OFFSET($H$3,0,0,'Données projet'!$E$11+1,1))</f>
        <v>352.34406861564418</v>
      </c>
      <c r="BJ99" s="62">
        <f t="shared" si="92"/>
        <v>182.40373266220317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-3.694822225952521E-13</v>
      </c>
      <c r="BZ99" s="14">
        <f>BY99*VLOOKUP('Données projet'!$B$12,Paramètres!$A$1:$I$89,3,0)*VLOOKUP('Données projet'!$B$12,Paramètres!$A$1:$I$89,5,0)</f>
        <v>-3.2277966965921228E-13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325.33012514933523</v>
      </c>
      <c r="CE99" s="62">
        <f t="shared" si="94"/>
        <v>332.38915219929675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1.3072435433206262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2.9393642281457858E-9</v>
      </c>
      <c r="CN99" s="24">
        <f t="shared" si="66"/>
        <v>1.3072435462599905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276.5454262793848</v>
      </c>
      <c r="S100" s="62">
        <f ca="1">AVERAGE(OFFSET($R$3,0,0,'Données projet'!$E$9+1,1))-AVERAGE(OFFSET($H$3,0,0,'Données projet'!$E$9+1,1))</f>
        <v>319.74550658573207</v>
      </c>
      <c r="T100" s="62">
        <f t="shared" si="88"/>
        <v>231.35643408122294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1.0064528156244812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5.2629025995114306E-10</v>
      </c>
      <c r="AC100" s="24">
        <f t="shared" si="57"/>
        <v>1.0064528161507715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254.64144953102331</v>
      </c>
      <c r="AO100" s="62">
        <f t="shared" si="90"/>
        <v>361.41009011468407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0.42941804259124894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3.4842500706355035E-10</v>
      </c>
      <c r="AX100" s="23">
        <f t="shared" si="60"/>
        <v>0.42941804293967395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3.4</v>
      </c>
      <c r="BD100" s="13">
        <f>IF('Données projet'!$A$88&gt;35,BD99+BC100-BL99,IF(A100&lt;'Données projet'!$A$88,$BA$205^A100,IF(A100='Données projet'!$A$88,'Données projet'!$B$88,BD99+BC100-BL99)))</f>
        <v>204.8</v>
      </c>
      <c r="BE100" s="14">
        <f>BD100*VLOOKUP('Données projet'!$B$11,Paramètres!$A$1:$I$89,3,0)*VLOOKUP('Données projet'!$B$11,Paramètres!$A$1:$I$89,5,0)</f>
        <v>214.05696000000003</v>
      </c>
      <c r="BF100" s="14">
        <f t="shared" si="91"/>
        <v>52.821143827018723</v>
      </c>
      <c r="BG100" s="22">
        <f t="shared" si="61"/>
        <v>464.81269749872439</v>
      </c>
      <c r="BH100" s="62">
        <f t="shared" si="62"/>
        <v>741.35812377810726</v>
      </c>
      <c r="BI100" s="62">
        <f ca="1">AVERAGE(OFFSET($BH$3,0,0,'Données projet'!$E$11+1,1))-AVERAGE(OFFSET($H$3,0,0,'Données projet'!$E$11+1,1))</f>
        <v>352.34406861564418</v>
      </c>
      <c r="BJ100" s="62">
        <f t="shared" si="92"/>
        <v>182.40373266220317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-3.694822225952521E-13</v>
      </c>
      <c r="BZ100" s="14">
        <f>BY100*VLOOKUP('Données projet'!$B$12,Paramètres!$A$1:$I$89,3,0)*VLOOKUP('Données projet'!$B$12,Paramètres!$A$1:$I$89,5,0)</f>
        <v>-3.2277966965921228E-13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325.33012514933523</v>
      </c>
      <c r="CE100" s="62">
        <f t="shared" si="94"/>
        <v>332.38915219929675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1.2816092947759394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2.0784443780990473E-9</v>
      </c>
      <c r="CN100" s="24">
        <f t="shared" si="66"/>
        <v>1.2816092968543837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276.83665893463336</v>
      </c>
      <c r="S101" s="62">
        <f ca="1">AVERAGE(OFFSET($R$3,0,0,'Données projet'!$E$9+1,1))-AVERAGE(OFFSET($H$3,0,0,'Données projet'!$E$9+1,1))</f>
        <v>319.74550658573207</v>
      </c>
      <c r="T101" s="62">
        <f t="shared" si="88"/>
        <v>231.35643408122294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0.9867168897856875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3.7214341168388414E-10</v>
      </c>
      <c r="AC101" s="24">
        <f t="shared" si="57"/>
        <v>0.98671689015783093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254.64144953102331</v>
      </c>
      <c r="AO101" s="62">
        <f t="shared" si="90"/>
        <v>361.41009011468407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0.42099741669517815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2.4637368522960717E-10</v>
      </c>
      <c r="AX101" s="23">
        <f t="shared" si="60"/>
        <v>0.42099741694155185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3.4</v>
      </c>
      <c r="BD101" s="13">
        <f>IF('Données projet'!$A$88&gt;35,BD100+BC101-BL100,IF(A101&lt;'Données projet'!$A$88,$BA$205^A101,IF(A101='Données projet'!$A$88,'Données projet'!$B$88,BD100+BC101-BL100)))</f>
        <v>208.20000000000002</v>
      </c>
      <c r="BE101" s="14">
        <f>BD101*VLOOKUP('Données projet'!$B$11,Paramètres!$A$1:$I$89,3,0)*VLOOKUP('Données projet'!$B$11,Paramètres!$A$1:$I$89,5,0)</f>
        <v>217.61064000000005</v>
      </c>
      <c r="BF101" s="14">
        <f t="shared" si="91"/>
        <v>53.595240539151249</v>
      </c>
      <c r="BG101" s="22">
        <f t="shared" si="61"/>
        <v>472.35024193902177</v>
      </c>
      <c r="BH101" s="62">
        <f t="shared" si="62"/>
        <v>749.18690087365314</v>
      </c>
      <c r="BI101" s="62">
        <f ca="1">AVERAGE(OFFSET($BH$3,0,0,'Données projet'!$E$11+1,1))-AVERAGE(OFFSET($H$3,0,0,'Données projet'!$E$11+1,1))</f>
        <v>352.34406861564418</v>
      </c>
      <c r="BJ101" s="62">
        <f t="shared" si="92"/>
        <v>182.40373266220317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-3.694822225952521E-13</v>
      </c>
      <c r="BZ101" s="14">
        <f>BY101*VLOOKUP('Données projet'!$B$12,Paramètres!$A$1:$I$89,3,0)*VLOOKUP('Données projet'!$B$12,Paramètres!$A$1:$I$89,5,0)</f>
        <v>-3.2277966965921228E-13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325.33012514933523</v>
      </c>
      <c r="CE101" s="62">
        <f t="shared" si="94"/>
        <v>332.38915219929675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1.2564777182098661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1.4696821140728929E-9</v>
      </c>
      <c r="CN101" s="24">
        <f t="shared" si="66"/>
        <v>1.2564777196795482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277.12283935441212</v>
      </c>
      <c r="S102" s="62">
        <f ca="1">AVERAGE(OFFSET($R$3,0,0,'Données projet'!$E$9+1,1))-AVERAGE(OFFSET($H$3,0,0,'Données projet'!$E$9+1,1))</f>
        <v>319.74550658573207</v>
      </c>
      <c r="T102" s="62">
        <f t="shared" si="88"/>
        <v>231.35643408122294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0.96736797341486636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2.6314512997557153E-10</v>
      </c>
      <c r="AC102" s="24">
        <f t="shared" si="57"/>
        <v>0.96736797367801153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254.64144953102331</v>
      </c>
      <c r="AO102" s="62">
        <f t="shared" si="90"/>
        <v>361.41009011468407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0.41274191413685468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1.7421250353177517E-10</v>
      </c>
      <c r="AX102" s="23">
        <f t="shared" si="60"/>
        <v>0.41274191431106716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3.4</v>
      </c>
      <c r="BD102" s="13">
        <f>IF('Données projet'!$A$88&gt;35,BD101+BC102-BL101,IF(A102&lt;'Données projet'!$A$88,$BA$205^A102,IF(A102='Données projet'!$A$88,'Données projet'!$B$88,BD101+BC102-BL101)))</f>
        <v>211.60000000000002</v>
      </c>
      <c r="BE102" s="14">
        <f>BD102*VLOOKUP('Données projet'!$B$11,Paramètres!$A$1:$I$89,3,0)*VLOOKUP('Données projet'!$B$11,Paramètres!$A$1:$I$89,5,0)</f>
        <v>221.16432000000003</v>
      </c>
      <c r="BF102" s="14">
        <f t="shared" si="91"/>
        <v>54.367867126828884</v>
      </c>
      <c r="BG102" s="22">
        <f t="shared" si="61"/>
        <v>479.88522591256037</v>
      </c>
      <c r="BH102" s="62">
        <f t="shared" si="62"/>
        <v>757.00806526697056</v>
      </c>
      <c r="BI102" s="62">
        <f ca="1">AVERAGE(OFFSET($BH$3,0,0,'Données projet'!$E$11+1,1))-AVERAGE(OFFSET($H$3,0,0,'Données projet'!$E$11+1,1))</f>
        <v>352.34406861564418</v>
      </c>
      <c r="BJ102" s="62">
        <f t="shared" si="92"/>
        <v>182.40373266220317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-3.694822225952521E-13</v>
      </c>
      <c r="BZ102" s="14">
        <f>BY102*VLOOKUP('Données projet'!$B$12,Paramètres!$A$1:$I$89,3,0)*VLOOKUP('Données projet'!$B$12,Paramètres!$A$1:$I$89,5,0)</f>
        <v>-3.2277966965921228E-13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325.33012514933523</v>
      </c>
      <c r="CE102" s="62">
        <f t="shared" si="94"/>
        <v>332.38915219929675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1.2318389565315053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1.0392221890495237E-9</v>
      </c>
      <c r="CN102" s="24">
        <f t="shared" si="66"/>
        <v>1.2318389575707276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277.40405518371119</v>
      </c>
      <c r="S103" s="62">
        <f ca="1">AVERAGE(OFFSET($R$3,0,0,'Données projet'!$E$9+1,1))-AVERAGE(OFFSET($H$3,0,0,'Données projet'!$E$9+1,1))</f>
        <v>319.74550658573207</v>
      </c>
      <c r="T103" s="62">
        <f t="shared" si="88"/>
        <v>231.35643408122294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0.94839847749240336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1.8607170584194207E-10</v>
      </c>
      <c r="AC103" s="24">
        <f t="shared" si="57"/>
        <v>0.94839847767847507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254.64144953102331</v>
      </c>
      <c r="AO103" s="62">
        <f t="shared" si="90"/>
        <v>361.41009011468407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0.40464829694834054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1.2318684261480358E-10</v>
      </c>
      <c r="AX103" s="23">
        <f t="shared" si="60"/>
        <v>0.40464829707152739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215</v>
      </c>
      <c r="BB103" s="13">
        <f>VLOOKUP(A103,'Données projet'!$A$87:$I$107,9,0)</f>
        <v>3.4</v>
      </c>
      <c r="BC103" s="13">
        <f t="array" ref="BC103">INDEX(BB:BB,MIN(IF(ISNUMBER(BB103:BB299),ROW(BB103:BB299),"")))</f>
        <v>3.4</v>
      </c>
      <c r="BD103" s="13">
        <f>IF('Données projet'!$A$88&gt;35,BD102+BC103-BL102,IF(A103&lt;'Données projet'!$A$88,$BA$205^A103,IF(A103='Données projet'!$A$88,'Données projet'!$B$88,BD102+BC103-BL102)))</f>
        <v>215.00000000000003</v>
      </c>
      <c r="BE103" s="14">
        <f>BD103*VLOOKUP('Données projet'!$B$11,Paramètres!$A$1:$I$89,3,0)*VLOOKUP('Données projet'!$B$11,Paramètres!$A$1:$I$89,5,0)</f>
        <v>224.71800000000007</v>
      </c>
      <c r="BF103" s="14">
        <f t="shared" si="91"/>
        <v>55.13904993933199</v>
      </c>
      <c r="BG103" s="22">
        <f t="shared" si="61"/>
        <v>487.41769531100323</v>
      </c>
      <c r="BH103" s="62">
        <f t="shared" si="62"/>
        <v>764.82175049471243</v>
      </c>
      <c r="BI103" s="62">
        <f ca="1">AVERAGE(OFFSET($BH$3,0,0,'Données projet'!$E$11+1,1))-AVERAGE(OFFSET($H$3,0,0,'Données projet'!$E$11+1,1))</f>
        <v>352.34406861564418</v>
      </c>
      <c r="BJ103" s="62">
        <f t="shared" si="92"/>
        <v>182.40373266220317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13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-3.694822225952521E-13</v>
      </c>
      <c r="BZ103" s="14">
        <f>BY103*VLOOKUP('Données projet'!$B$12,Paramètres!$A$1:$I$89,3,0)*VLOOKUP('Données projet'!$B$12,Paramètres!$A$1:$I$89,5,0)</f>
        <v>-3.2277966965921228E-13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325.33012514933523</v>
      </c>
      <c r="CE103" s="62">
        <f t="shared" si="94"/>
        <v>332.38915219929675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1.2076833459414966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7.3484105703644646E-10</v>
      </c>
      <c r="CN103" s="24">
        <f t="shared" si="66"/>
        <v>1.2076833466763377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277.68039254707639</v>
      </c>
      <c r="S104" s="62">
        <f ca="1">AVERAGE(OFFSET($R$3,0,0,'Données projet'!$E$9+1,1))-AVERAGE(OFFSET($H$3,0,0,'Données projet'!$E$9+1,1))</f>
        <v>319.74550658573207</v>
      </c>
      <c r="T104" s="62">
        <f t="shared" si="88"/>
        <v>231.35643408122294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0.92980096181472982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1.3157256498778577E-10</v>
      </c>
      <c r="AC104" s="24">
        <f t="shared" si="57"/>
        <v>0.92980096194630235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254.64144953102331</v>
      </c>
      <c r="AO104" s="62">
        <f t="shared" si="90"/>
        <v>361.41009011468407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0.39671339065627415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8.7106251765887587E-11</v>
      </c>
      <c r="AX104" s="23">
        <f t="shared" si="60"/>
        <v>0.39671339074338041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</v>
      </c>
      <c r="BD104" s="13">
        <f>IF('Données projet'!$A$88&gt;35,BD103+BC104-BL103,IF(A104&lt;'Données projet'!$A$88,$BA$205^A104,IF(A104='Données projet'!$A$88,'Données projet'!$B$88,BD103+BC104-BL103)))</f>
        <v>205.00000000000003</v>
      </c>
      <c r="BE104" s="14">
        <f>BD104*VLOOKUP('Données projet'!$B$11,Paramètres!$A$1:$I$89,3,0)*VLOOKUP('Données projet'!$B$11,Paramètres!$A$1:$I$89,5,0)</f>
        <v>214.26600000000005</v>
      </c>
      <c r="BF104" s="14">
        <f t="shared" si="91"/>
        <v>52.86672010725195</v>
      </c>
      <c r="BG104" s="22">
        <f t="shared" si="61"/>
        <v>465.25615418679718</v>
      </c>
      <c r="BH104" s="62">
        <f t="shared" si="62"/>
        <v>742.93654673387164</v>
      </c>
      <c r="BI104" s="62">
        <f ca="1">AVERAGE(OFFSET($BH$3,0,0,'Données projet'!$E$11+1,1))-AVERAGE(OFFSET($H$3,0,0,'Données projet'!$E$11+1,1))</f>
        <v>352.34406861564418</v>
      </c>
      <c r="BJ104" s="62">
        <f t="shared" si="92"/>
        <v>182.40373266220317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-3.694822225952521E-13</v>
      </c>
      <c r="BZ104" s="14">
        <f>BY104*VLOOKUP('Données projet'!$B$12,Paramètres!$A$1:$I$89,3,0)*VLOOKUP('Données projet'!$B$12,Paramètres!$A$1:$I$89,5,0)</f>
        <v>-3.2277966965921228E-13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325.33012514933523</v>
      </c>
      <c r="CE104" s="62">
        <f t="shared" si="94"/>
        <v>332.38915219929675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1.1840014121416902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5.1961109452476183E-10</v>
      </c>
      <c r="CN104" s="24">
        <f t="shared" si="66"/>
        <v>1.1840014126613012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277.95193607498493</v>
      </c>
      <c r="S105" s="62">
        <f ca="1">AVERAGE(OFFSET($R$3,0,0,'Données projet'!$E$9+1,1))-AVERAGE(OFFSET($H$3,0,0,'Données projet'!$E$9+1,1))</f>
        <v>319.74550658573207</v>
      </c>
      <c r="T105" s="62">
        <f t="shared" si="88"/>
        <v>231.35643408122294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0.91156813207613097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9.3035852920971035E-11</v>
      </c>
      <c r="AC105" s="24">
        <f t="shared" si="57"/>
        <v>0.91156813216916677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254.64144953102331</v>
      </c>
      <c r="AO105" s="62">
        <f t="shared" si="90"/>
        <v>361.41009011468407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0.38893408303678023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6.1593421307401791E-11</v>
      </c>
      <c r="AX105" s="23">
        <f t="shared" si="60"/>
        <v>0.38893408309837363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</v>
      </c>
      <c r="BD105" s="13">
        <f>IF('Données projet'!$A$88&gt;35,BD104+BC105-BL104,IF(A105&lt;'Données projet'!$A$88,$BA$205^A105,IF(A105='Données projet'!$A$88,'Données projet'!$B$88,BD104+BC105-BL104)))</f>
        <v>208.00000000000003</v>
      </c>
      <c r="BE105" s="14">
        <f>BD105*VLOOKUP('Données projet'!$B$11,Paramètres!$A$1:$I$89,3,0)*VLOOKUP('Données projet'!$B$11,Paramètres!$A$1:$I$89,5,0)</f>
        <v>217.40160000000003</v>
      </c>
      <c r="BF105" s="14">
        <f t="shared" si="91"/>
        <v>53.549746395925162</v>
      </c>
      <c r="BG105" s="22">
        <f t="shared" si="61"/>
        <v>471.90692830623647</v>
      </c>
      <c r="BH105" s="62">
        <f t="shared" si="62"/>
        <v>749.85886438121941</v>
      </c>
      <c r="BI105" s="62">
        <f ca="1">AVERAGE(OFFSET($BH$3,0,0,'Données projet'!$E$11+1,1))-AVERAGE(OFFSET($H$3,0,0,'Données projet'!$E$11+1,1))</f>
        <v>352.34406861564418</v>
      </c>
      <c r="BJ105" s="62">
        <f t="shared" si="92"/>
        <v>182.40373266220317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-3.694822225952521E-13</v>
      </c>
      <c r="BZ105" s="14">
        <f>BY105*VLOOKUP('Données projet'!$B$12,Paramètres!$A$1:$I$89,3,0)*VLOOKUP('Données projet'!$B$12,Paramètres!$A$1:$I$89,5,0)</f>
        <v>-3.2277966965921228E-13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325.33012514933523</v>
      </c>
      <c r="CE105" s="62">
        <f t="shared" si="94"/>
        <v>332.38915219929675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1.1607838666191448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3.6742052851822323E-10</v>
      </c>
      <c r="CN105" s="24">
        <f t="shared" si="66"/>
        <v>1.1607838669865653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278.21876892976468</v>
      </c>
      <c r="S106" s="62">
        <f ca="1">AVERAGE(OFFSET($R$3,0,0,'Données projet'!$E$9+1,1))-AVERAGE(OFFSET($H$3,0,0,'Données projet'!$E$9+1,1))</f>
        <v>319.74550658573207</v>
      </c>
      <c r="T106" s="62">
        <f t="shared" si="88"/>
        <v>231.35643408122294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0.89369283700777802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6.5786282493892883E-11</v>
      </c>
      <c r="AC106" s="24">
        <f t="shared" si="57"/>
        <v>0.89369283707356428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254.64144953102331</v>
      </c>
      <c r="AO106" s="62">
        <f t="shared" si="90"/>
        <v>361.41009011468407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0.38130732289479546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4.3553125882943793E-11</v>
      </c>
      <c r="AX106" s="23">
        <f t="shared" si="60"/>
        <v>0.38130732293834857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</v>
      </c>
      <c r="BD106" s="13">
        <f>IF('Données projet'!$A$88&gt;35,BD105+BC106-BL105,IF(A106&lt;'Données projet'!$A$88,$BA$205^A106,IF(A106='Données projet'!$A$88,'Données projet'!$B$88,BD105+BC106-BL105)))</f>
        <v>211.00000000000003</v>
      </c>
      <c r="BE106" s="14">
        <f>BD106*VLOOKUP('Données projet'!$B$11,Paramètres!$A$1:$I$89,3,0)*VLOOKUP('Données projet'!$B$11,Paramètres!$A$1:$I$89,5,0)</f>
        <v>220.53720000000007</v>
      </c>
      <c r="BF106" s="14">
        <f t="shared" si="91"/>
        <v>54.23162690856141</v>
      </c>
      <c r="BG106" s="22">
        <f t="shared" si="61"/>
        <v>478.55570686574453</v>
      </c>
      <c r="BH106" s="62">
        <f t="shared" si="62"/>
        <v>756.77447579550721</v>
      </c>
      <c r="BI106" s="62">
        <f ca="1">AVERAGE(OFFSET($BH$3,0,0,'Données projet'!$E$11+1,1))-AVERAGE(OFFSET($H$3,0,0,'Données projet'!$E$11+1,1))</f>
        <v>352.34406861564418</v>
      </c>
      <c r="BJ106" s="62">
        <f t="shared" si="92"/>
        <v>182.40373266220317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-3.694822225952521E-13</v>
      </c>
      <c r="BZ106" s="14">
        <f>BY106*VLOOKUP('Données projet'!$B$12,Paramètres!$A$1:$I$89,3,0)*VLOOKUP('Données projet'!$B$12,Paramètres!$A$1:$I$89,5,0)</f>
        <v>-3.2277966965921228E-13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325.33012514933523</v>
      </c>
      <c r="CE106" s="62">
        <f t="shared" si="94"/>
        <v>332.38915219929675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1.1380216030029919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2.5980554726238092E-10</v>
      </c>
      <c r="CN106" s="24">
        <f t="shared" si="66"/>
        <v>1.1380216032627974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278.4809728310629</v>
      </c>
      <c r="S107" s="62">
        <f ca="1">AVERAGE(OFFSET($R$3,0,0,'Données projet'!$E$9+1,1))-AVERAGE(OFFSET($H$3,0,0,'Données projet'!$E$9+1,1))</f>
        <v>319.74550658573207</v>
      </c>
      <c r="T107" s="62">
        <f t="shared" si="88"/>
        <v>231.35643408122294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0.87616806557286198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4.6517926460485517E-11</v>
      </c>
      <c r="AC107" s="24">
        <f t="shared" si="57"/>
        <v>0.87616806561937988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254.64144953102331</v>
      </c>
      <c r="AO107" s="62">
        <f t="shared" si="90"/>
        <v>361.41009011468407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0.37383011886733064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3.0796710653700896E-11</v>
      </c>
      <c r="AX107" s="23">
        <f t="shared" si="60"/>
        <v>0.37383011889812734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</v>
      </c>
      <c r="BD107" s="13">
        <f>IF('Données projet'!$A$88&gt;35,BD106+BC107-BL106,IF(A107&lt;'Données projet'!$A$88,$BA$205^A107,IF(A107='Données projet'!$A$88,'Données projet'!$B$88,BD106+BC107-BL106)))</f>
        <v>214.00000000000003</v>
      </c>
      <c r="BE107" s="14">
        <f>BD107*VLOOKUP('Données projet'!$B$11,Paramètres!$A$1:$I$89,3,0)*VLOOKUP('Données projet'!$B$11,Paramètres!$A$1:$I$89,5,0)</f>
        <v>223.67280000000005</v>
      </c>
      <c r="BF107" s="14">
        <f t="shared" si="91"/>
        <v>54.91237981823884</v>
      </c>
      <c r="BG107" s="22">
        <f t="shared" si="61"/>
        <v>485.20252151676613</v>
      </c>
      <c r="BH107" s="62">
        <f t="shared" si="62"/>
        <v>763.68349434782704</v>
      </c>
      <c r="BI107" s="62">
        <f ca="1">AVERAGE(OFFSET($BH$3,0,0,'Données projet'!$E$11+1,1))-AVERAGE(OFFSET($H$3,0,0,'Données projet'!$E$11+1,1))</f>
        <v>352.34406861564418</v>
      </c>
      <c r="BJ107" s="62">
        <f t="shared" si="92"/>
        <v>182.40373266220317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-3.694822225952521E-13</v>
      </c>
      <c r="BZ107" s="14">
        <f>BY107*VLOOKUP('Données projet'!$B$12,Paramètres!$A$1:$I$89,3,0)*VLOOKUP('Données projet'!$B$12,Paramètres!$A$1:$I$89,5,0)</f>
        <v>-3.2277966965921228E-13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325.33012514933523</v>
      </c>
      <c r="CE107" s="62">
        <f t="shared" si="94"/>
        <v>332.38915219929675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1.1157056934927421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1.8371026425911161E-10</v>
      </c>
      <c r="CN107" s="24">
        <f t="shared" si="66"/>
        <v>1.1157056936764522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278.73862808087375</v>
      </c>
      <c r="S108" s="62">
        <f ca="1">AVERAGE(OFFSET($R$3,0,0,'Données projet'!$E$9+1,1))-AVERAGE(OFFSET($H$3,0,0,'Données projet'!$E$9+1,1))</f>
        <v>319.74550658573207</v>
      </c>
      <c r="T108" s="62">
        <f t="shared" si="88"/>
        <v>231.35643408122294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0.85898694421672961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3.2893141246946441E-11</v>
      </c>
      <c r="AC108" s="24">
        <f t="shared" si="57"/>
        <v>0.85898694424962274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254.64144953102331</v>
      </c>
      <c r="AO108" s="62">
        <f t="shared" si="90"/>
        <v>361.41009011468407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0.36649953825020032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2.1776562941471897E-11</v>
      </c>
      <c r="AX108" s="23">
        <f t="shared" si="60"/>
        <v>0.3664995382719769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217</v>
      </c>
      <c r="BB108" s="13">
        <f>VLOOKUP(A108,'Données projet'!$A$87:$I$107,9,0)</f>
        <v>3</v>
      </c>
      <c r="BC108" s="13">
        <f t="array" ref="BC108">INDEX(BB:BB,MIN(IF(ISNUMBER(BB108:BB304),ROW(BB108:BB304),"")))</f>
        <v>3</v>
      </c>
      <c r="BD108" s="13">
        <f>IF('Données projet'!$A$88&gt;35,BD107+BC108-BL107,IF(A108&lt;'Données projet'!$A$88,$BA$205^A108,IF(A108='Données projet'!$A$88,'Données projet'!$B$88,BD107+BC108-BL107)))</f>
        <v>217.00000000000003</v>
      </c>
      <c r="BE108" s="14">
        <f>BD108*VLOOKUP('Données projet'!$B$11,Paramètres!$A$1:$I$89,3,0)*VLOOKUP('Données projet'!$B$11,Paramètres!$A$1:$I$89,5,0)</f>
        <v>226.80840000000003</v>
      </c>
      <c r="BF108" s="14">
        <f t="shared" si="91"/>
        <v>55.592022759242575</v>
      </c>
      <c r="BG108" s="22">
        <f t="shared" si="61"/>
        <v>491.84740297234742</v>
      </c>
      <c r="BH108" s="62">
        <f t="shared" si="62"/>
        <v>770.58603105321913</v>
      </c>
      <c r="BI108" s="62">
        <f ca="1">AVERAGE(OFFSET($BH$3,0,0,'Données projet'!$E$11+1,1))-AVERAGE(OFFSET($H$3,0,0,'Données projet'!$E$11+1,1))</f>
        <v>352.34406861564418</v>
      </c>
      <c r="BJ108" s="62">
        <f t="shared" si="92"/>
        <v>182.40373266220317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13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-3.694822225952521E-13</v>
      </c>
      <c r="BZ108" s="14">
        <f>BY108*VLOOKUP('Données projet'!$B$12,Paramètres!$A$1:$I$89,3,0)*VLOOKUP('Données projet'!$B$12,Paramètres!$A$1:$I$89,5,0)</f>
        <v>-3.2277966965921228E-13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325.33012514933523</v>
      </c>
      <c r="CE108" s="62">
        <f t="shared" si="94"/>
        <v>332.38915219929675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1.0938273853566274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1.2990277363119046E-10</v>
      </c>
      <c r="CN108" s="24">
        <f t="shared" si="66"/>
        <v>1.0938273854865301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278.99181358813109</v>
      </c>
      <c r="S109" s="62">
        <f ca="1">AVERAGE(OFFSET($R$3,0,0,'Données projet'!$E$9+1,1))-AVERAGE(OFFSET($H$3,0,0,'Données projet'!$E$9+1,1))</f>
        <v>319.74550658573207</v>
      </c>
      <c r="T109" s="62">
        <f t="shared" si="88"/>
        <v>231.35643408122294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0.84214273417094165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2.3258963230242759E-11</v>
      </c>
      <c r="AC109" s="24">
        <f t="shared" si="57"/>
        <v>0.8421427341942006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254.64144953102331</v>
      </c>
      <c r="AO109" s="62">
        <f t="shared" si="90"/>
        <v>361.41009011468407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0.35931270584775921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1.5398355326850448E-11</v>
      </c>
      <c r="AX109" s="23">
        <f t="shared" si="60"/>
        <v>0.35931270586315756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</v>
      </c>
      <c r="BD109" s="13">
        <f>IF('Données projet'!$A$88&gt;35,BD108+BC109-BL108,IF(A109&lt;'Données projet'!$A$88,$BA$205^A109,IF(A109='Données projet'!$A$88,'Données projet'!$B$88,BD108+BC109-BL108)))</f>
        <v>207.00000000000003</v>
      </c>
      <c r="BE109" s="14">
        <f>BD109*VLOOKUP('Données projet'!$B$11,Paramètres!$A$1:$I$89,3,0)*VLOOKUP('Données projet'!$B$11,Paramètres!$A$1:$I$89,5,0)</f>
        <v>216.35640000000004</v>
      </c>
      <c r="BF109" s="14">
        <f t="shared" si="91"/>
        <v>53.322199188237285</v>
      </c>
      <c r="BG109" s="22">
        <f t="shared" si="61"/>
        <v>469.69022691951341</v>
      </c>
      <c r="BH109" s="62">
        <f t="shared" si="62"/>
        <v>748.68204050764257</v>
      </c>
      <c r="BI109" s="62">
        <f ca="1">AVERAGE(OFFSET($BH$3,0,0,'Données projet'!$E$11+1,1))-AVERAGE(OFFSET($H$3,0,0,'Données projet'!$E$11+1,1))</f>
        <v>352.34406861564418</v>
      </c>
      <c r="BJ109" s="62">
        <f t="shared" si="92"/>
        <v>182.40373266220317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-3.694822225952521E-13</v>
      </c>
      <c r="BZ109" s="14">
        <f>BY109*VLOOKUP('Données projet'!$B$12,Paramètres!$A$1:$I$89,3,0)*VLOOKUP('Données projet'!$B$12,Paramètres!$A$1:$I$89,5,0)</f>
        <v>-3.2277966965921228E-13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325.33012514933523</v>
      </c>
      <c r="CE109" s="62">
        <f t="shared" si="94"/>
        <v>332.38915219929675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1.0723780974986115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9.1855132129555807E-11</v>
      </c>
      <c r="CN109" s="24">
        <f t="shared" si="66"/>
        <v>1.0723780975904667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279.24060689287563</v>
      </c>
      <c r="S110" s="62">
        <f ca="1">AVERAGE(OFFSET($R$3,0,0,'Données projet'!$E$9+1,1))-AVERAGE(OFFSET($H$3,0,0,'Données projet'!$E$9+1,1))</f>
        <v>319.74550658573207</v>
      </c>
      <c r="T110" s="62">
        <f t="shared" si="88"/>
        <v>231.35643408122294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0.82562882881019795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1.6446570623473221E-11</v>
      </c>
      <c r="AC110" s="24">
        <f t="shared" si="57"/>
        <v>0.82562882882664457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254.64144953102331</v>
      </c>
      <c r="AO110" s="62">
        <f t="shared" si="90"/>
        <v>361.41009011468407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0.35226680284519507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1.0888281470735948E-11</v>
      </c>
      <c r="AX110" s="23">
        <f t="shared" si="60"/>
        <v>0.35226680285608336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</v>
      </c>
      <c r="BD110" s="13">
        <f>IF('Données projet'!$A$88&gt;35,BD109+BC110-BL109,IF(A110&lt;'Données projet'!$A$88,$BA$205^A110,IF(A110='Données projet'!$A$88,'Données projet'!$B$88,BD109+BC110-BL109)))</f>
        <v>210.00000000000003</v>
      </c>
      <c r="BE110" s="14">
        <f>BD110*VLOOKUP('Données projet'!$B$11,Paramètres!$A$1:$I$89,3,0)*VLOOKUP('Données projet'!$B$11,Paramètres!$A$1:$I$89,5,0)</f>
        <v>219.49200000000005</v>
      </c>
      <c r="BF110" s="14">
        <f t="shared" si="91"/>
        <v>54.004459579686667</v>
      </c>
      <c r="BG110" s="22">
        <f t="shared" si="61"/>
        <v>476.3396671012876</v>
      </c>
      <c r="BH110" s="62">
        <f t="shared" si="62"/>
        <v>755.58027399416119</v>
      </c>
      <c r="BI110" s="62">
        <f ca="1">AVERAGE(OFFSET($BH$3,0,0,'Données projet'!$E$11+1,1))-AVERAGE(OFFSET($H$3,0,0,'Données projet'!$E$11+1,1))</f>
        <v>352.34406861564418</v>
      </c>
      <c r="BJ110" s="62">
        <f t="shared" si="92"/>
        <v>182.40373266220317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-3.694822225952521E-13</v>
      </c>
      <c r="BZ110" s="14">
        <f>BY110*VLOOKUP('Données projet'!$B$12,Paramètres!$A$1:$I$89,3,0)*VLOOKUP('Données projet'!$B$12,Paramètres!$A$1:$I$89,5,0)</f>
        <v>-3.2277966965921228E-13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325.33012514933523</v>
      </c>
      <c r="CE110" s="62">
        <f t="shared" si="94"/>
        <v>332.38915219929675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1.0513494170927176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6.4951386815595229E-11</v>
      </c>
      <c r="CN110" s="24">
        <f t="shared" si="66"/>
        <v>1.0513494171576689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279.48508419000132</v>
      </c>
      <c r="S111" s="62">
        <f ca="1">AVERAGE(OFFSET($R$3,0,0,'Données projet'!$E$9+1,1))-AVERAGE(OFFSET($H$3,0,0,'Données projet'!$E$9+1,1))</f>
        <v>319.74550658573207</v>
      </c>
      <c r="T111" s="62">
        <f t="shared" si="88"/>
        <v>231.35643408122294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0.80943875106109076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1.1629481615121379E-11</v>
      </c>
      <c r="AC111" s="24">
        <f t="shared" si="57"/>
        <v>0.80943875107272023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254.64144953102331</v>
      </c>
      <c r="AO111" s="62">
        <f t="shared" si="90"/>
        <v>361.41009011468407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0.34535906570293473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7.6991776634252239E-12</v>
      </c>
      <c r="AX111" s="23">
        <f t="shared" si="60"/>
        <v>0.34535906571063391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</v>
      </c>
      <c r="BD111" s="13">
        <f>IF('Données projet'!$A$88&gt;35,BD110+BC111-BL110,IF(A111&lt;'Données projet'!$A$88,$BA$205^A111,IF(A111='Données projet'!$A$88,'Données projet'!$B$88,BD110+BC111-BL110)))</f>
        <v>213.00000000000003</v>
      </c>
      <c r="BE111" s="14">
        <f>BD111*VLOOKUP('Données projet'!$B$11,Paramètres!$A$1:$I$89,3,0)*VLOOKUP('Données projet'!$B$11,Paramètres!$A$1:$I$89,5,0)</f>
        <v>222.62760000000006</v>
      </c>
      <c r="BF111" s="14">
        <f t="shared" si="91"/>
        <v>54.685586371535265</v>
      </c>
      <c r="BG111" s="22">
        <f t="shared" si="61"/>
        <v>482.98713293042402</v>
      </c>
      <c r="BH111" s="62">
        <f t="shared" si="62"/>
        <v>762.47221712042335</v>
      </c>
      <c r="BI111" s="62">
        <f ca="1">AVERAGE(OFFSET($BH$3,0,0,'Données projet'!$E$11+1,1))-AVERAGE(OFFSET($H$3,0,0,'Données projet'!$E$11+1,1))</f>
        <v>352.34406861564418</v>
      </c>
      <c r="BJ111" s="62">
        <f t="shared" si="92"/>
        <v>182.40373266220317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-3.694822225952521E-13</v>
      </c>
      <c r="BZ111" s="14">
        <f>BY111*VLOOKUP('Données projet'!$B$12,Paramètres!$A$1:$I$89,3,0)*VLOOKUP('Données projet'!$B$12,Paramètres!$A$1:$I$89,5,0)</f>
        <v>-3.2277966965921228E-13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325.33012514933523</v>
      </c>
      <c r="CE111" s="62">
        <f t="shared" si="94"/>
        <v>332.38915219929675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1.0307330962833547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4.5927566064777904E-11</v>
      </c>
      <c r="CN111" s="24">
        <f t="shared" si="66"/>
        <v>1.0307330963292822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279.72532035259127</v>
      </c>
      <c r="S112" s="62">
        <f ca="1">AVERAGE(OFFSET($R$3,0,0,'Données projet'!$E$9+1,1))-AVERAGE(OFFSET($H$3,0,0,'Données projet'!$E$9+1,1))</f>
        <v>319.74550658573207</v>
      </c>
      <c r="T112" s="62">
        <f t="shared" si="88"/>
        <v>231.35643408122294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0.79356615086167126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8.2232853117366104E-12</v>
      </c>
      <c r="AC112" s="24">
        <f t="shared" si="57"/>
        <v>0.79356615086989457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254.64144953102331</v>
      </c>
      <c r="AO112" s="62">
        <f t="shared" si="90"/>
        <v>361.41009011468407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0.33858678507273049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5.4441407353679742E-12</v>
      </c>
      <c r="AX112" s="23">
        <f t="shared" si="60"/>
        <v>0.33858678507817463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</v>
      </c>
      <c r="BD112" s="13">
        <f>IF('Données projet'!$A$88&gt;35,BD111+BC112-BL111,IF(A112&lt;'Données projet'!$A$88,$BA$205^A112,IF(A112='Données projet'!$A$88,'Données projet'!$B$88,BD111+BC112-BL111)))</f>
        <v>216.00000000000003</v>
      </c>
      <c r="BE112" s="14">
        <f>BD112*VLOOKUP('Données projet'!$B$11,Paramètres!$A$1:$I$89,3,0)*VLOOKUP('Données projet'!$B$11,Paramètres!$A$1:$I$89,5,0)</f>
        <v>225.76320000000004</v>
      </c>
      <c r="BF112" s="14">
        <f t="shared" si="91"/>
        <v>55.365597375021402</v>
      </c>
      <c r="BG112" s="22">
        <f t="shared" si="61"/>
        <v>489.63265542816231</v>
      </c>
      <c r="BH112" s="62">
        <f t="shared" si="62"/>
        <v>769.35797578075153</v>
      </c>
      <c r="BI112" s="62">
        <f ca="1">AVERAGE(OFFSET($BH$3,0,0,'Données projet'!$E$11+1,1))-AVERAGE(OFFSET($H$3,0,0,'Données projet'!$E$11+1,1))</f>
        <v>352.34406861564418</v>
      </c>
      <c r="BJ112" s="62">
        <f t="shared" si="92"/>
        <v>182.40373266220317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-3.694822225952521E-13</v>
      </c>
      <c r="BZ112" s="14">
        <f>BY112*VLOOKUP('Données projet'!$B$12,Paramètres!$A$1:$I$89,3,0)*VLOOKUP('Données projet'!$B$12,Paramètres!$A$1:$I$89,5,0)</f>
        <v>-3.2277966965921228E-13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325.33012514933523</v>
      </c>
      <c r="CE112" s="62">
        <f t="shared" si="94"/>
        <v>332.38915219929675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1.0105210489503493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3.2475693407797614E-11</v>
      </c>
      <c r="CN112" s="24">
        <f t="shared" si="66"/>
        <v>1.0105210489828251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279.96138895484785</v>
      </c>
      <c r="S113" s="62">
        <f ca="1">AVERAGE(OFFSET($R$3,0,0,'Données projet'!$E$9+1,1))-AVERAGE(OFFSET($H$3,0,0,'Données projet'!$E$9+1,1))</f>
        <v>319.74550658573207</v>
      </c>
      <c r="T113" s="62">
        <f t="shared" si="88"/>
        <v>231.35643408122294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0.77800480267083216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5.8147408075606897E-12</v>
      </c>
      <c r="AC113" s="24">
        <f t="shared" si="57"/>
        <v>0.77800480267664696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254.64144953102331</v>
      </c>
      <c r="AO113" s="62">
        <f t="shared" si="90"/>
        <v>361.41009011468407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0.33194730473500123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3.849588831712612E-12</v>
      </c>
      <c r="AX113" s="23">
        <f t="shared" si="60"/>
        <v>0.33194730473885081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219</v>
      </c>
      <c r="BB113" s="13">
        <f>VLOOKUP(A113,'Données projet'!$A$87:$I$107,9,0)</f>
        <v>3</v>
      </c>
      <c r="BC113" s="13">
        <f t="array" ref="BC113">INDEX(BB:BB,MIN(IF(ISNUMBER(BB113:BB309),ROW(BB113:BB309),"")))</f>
        <v>3</v>
      </c>
      <c r="BD113" s="13">
        <f>IF('Données projet'!$A$88&gt;35,BD112+BC113-BL112,IF(A113&lt;'Données projet'!$A$88,$BA$205^A113,IF(A113='Données projet'!$A$88,'Données projet'!$B$88,BD112+BC113-BL112)))</f>
        <v>219.00000000000003</v>
      </c>
      <c r="BE113" s="14">
        <f>BD113*VLOOKUP('Données projet'!$B$11,Paramètres!$A$1:$I$89,3,0)*VLOOKUP('Données projet'!$B$11,Paramètres!$A$1:$I$89,5,0)</f>
        <v>228.89880000000002</v>
      </c>
      <c r="BF113" s="14">
        <f t="shared" si="91"/>
        <v>56.044509878204664</v>
      </c>
      <c r="BG113" s="22">
        <f t="shared" si="61"/>
        <v>496.27626470453976</v>
      </c>
      <c r="BH113" s="62">
        <f t="shared" si="62"/>
        <v>776.23765365938561</v>
      </c>
      <c r="BI113" s="62">
        <f ca="1">AVERAGE(OFFSET($BH$3,0,0,'Données projet'!$E$11+1,1))-AVERAGE(OFFSET($H$3,0,0,'Données projet'!$E$11+1,1))</f>
        <v>352.34406861564418</v>
      </c>
      <c r="BJ113" s="62">
        <f t="shared" si="92"/>
        <v>182.40373266220317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-3.694822225952521E-13</v>
      </c>
      <c r="BZ113" s="14">
        <f>BY113*VLOOKUP('Données projet'!$B$12,Paramètres!$A$1:$I$89,3,0)*VLOOKUP('Données projet'!$B$12,Paramètres!$A$1:$I$89,5,0)</f>
        <v>-3.2277966965921228E-13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325.33012514933523</v>
      </c>
      <c r="CE113" s="62">
        <f t="shared" si="94"/>
        <v>332.38915219929675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0.99070534753741268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2.2963783032388952E-11</v>
      </c>
      <c r="CN113" s="24">
        <f t="shared" si="66"/>
        <v>0.99070534756037643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280.19336229462556</v>
      </c>
      <c r="S114" s="62">
        <f ca="1">AVERAGE(OFFSET($R$3,0,0,'Données projet'!$E$9+1,1))-AVERAGE(OFFSET($H$3,0,0,'Données projet'!$E$9+1,1))</f>
        <v>319.74550658573207</v>
      </c>
      <c r="T114" s="62">
        <f t="shared" si="88"/>
        <v>231.35643408122294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0.76274860302653025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4.1116426558683052E-12</v>
      </c>
      <c r="AC114" s="24">
        <f t="shared" si="57"/>
        <v>0.76274860303064185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254.64144953102331</v>
      </c>
      <c r="AO114" s="62">
        <f t="shared" si="90"/>
        <v>361.41009011468407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0.32543802055701171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2.7220703676839871E-12</v>
      </c>
      <c r="AX114" s="23">
        <f t="shared" si="60"/>
        <v>0.32543802055973375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</v>
      </c>
      <c r="BD114" s="13">
        <f>IF('Données projet'!$A$88&gt;35,BD113+BC114-BL113,IF(A114&lt;'Données projet'!$A$88,$BA$205^A114,IF(A114='Données projet'!$A$88,'Données projet'!$B$88,BD113+BC114-BL113)))</f>
        <v>209.00000000000003</v>
      </c>
      <c r="BE114" s="14">
        <f>BD114*VLOOKUP('Données projet'!$B$11,Paramètres!$A$1:$I$89,3,0)*VLOOKUP('Données projet'!$B$11,Paramètres!$A$1:$I$89,5,0)</f>
        <v>218.44680000000005</v>
      </c>
      <c r="BF114" s="14">
        <f t="shared" si="91"/>
        <v>53.777166299799873</v>
      </c>
      <c r="BG114" s="22">
        <f t="shared" si="61"/>
        <v>474.12340797215148</v>
      </c>
      <c r="BH114" s="62">
        <f t="shared" si="62"/>
        <v>754.31677026677505</v>
      </c>
      <c r="BI114" s="62">
        <f ca="1">AVERAGE(OFFSET($BH$3,0,0,'Données projet'!$E$11+1,1))-AVERAGE(OFFSET($H$3,0,0,'Données projet'!$E$11+1,1))</f>
        <v>352.34406861564418</v>
      </c>
      <c r="BJ114" s="62">
        <f t="shared" si="92"/>
        <v>182.40373266220317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-3.694822225952521E-13</v>
      </c>
      <c r="BZ114" s="14">
        <f>BY114*VLOOKUP('Données projet'!$B$12,Paramètres!$A$1:$I$89,3,0)*VLOOKUP('Données projet'!$B$12,Paramètres!$A$1:$I$89,5,0)</f>
        <v>-3.2277966965921228E-13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325.33012514933523</v>
      </c>
      <c r="CE114" s="62">
        <f t="shared" si="94"/>
        <v>332.38915219929675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0.97127821994279928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1.6237846703898807E-11</v>
      </c>
      <c r="CN114" s="24">
        <f t="shared" si="66"/>
        <v>0.97127821995903718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280.42131141557286</v>
      </c>
      <c r="S115" s="62">
        <f ca="1">AVERAGE(OFFSET($R$3,0,0,'Données projet'!$E$9+1,1))-AVERAGE(OFFSET($H$3,0,0,'Données projet'!$E$9+1,1))</f>
        <v>319.74550658573207</v>
      </c>
      <c r="T115" s="62">
        <f t="shared" si="88"/>
        <v>231.35643408122294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0.74779156815189007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2.9073704037803448E-12</v>
      </c>
      <c r="AC115" s="24">
        <f t="shared" si="57"/>
        <v>0.74779156815479741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254.64144953102331</v>
      </c>
      <c r="AO115" s="62">
        <f t="shared" si="90"/>
        <v>361.41009011468407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0.31905637947148124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1.924794415856306E-12</v>
      </c>
      <c r="AX115" s="23">
        <f t="shared" si="60"/>
        <v>0.31905637947340604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</v>
      </c>
      <c r="BD115" s="13">
        <f>IF('Données projet'!$A$88&gt;35,BD114+BC115-BL114,IF(A115&lt;'Données projet'!$A$88,$BA$205^A115,IF(A115='Données projet'!$A$88,'Données projet'!$B$88,BD114+BC115-BL114)))</f>
        <v>212.00000000000003</v>
      </c>
      <c r="BE115" s="14">
        <f>BD115*VLOOKUP('Données projet'!$B$11,Paramètres!$A$1:$I$89,3,0)*VLOOKUP('Données projet'!$B$11,Paramètres!$A$1:$I$89,5,0)</f>
        <v>221.58240000000004</v>
      </c>
      <c r="BF115" s="14">
        <f t="shared" si="91"/>
        <v>54.458668952651578</v>
      </c>
      <c r="BG115" s="22">
        <f t="shared" si="61"/>
        <v>480.77152842586815</v>
      </c>
      <c r="BH115" s="62">
        <f t="shared" si="62"/>
        <v>761.19283984143908</v>
      </c>
      <c r="BI115" s="62">
        <f ca="1">AVERAGE(OFFSET($BH$3,0,0,'Données projet'!$E$11+1,1))-AVERAGE(OFFSET($H$3,0,0,'Données projet'!$E$11+1,1))</f>
        <v>352.34406861564418</v>
      </c>
      <c r="BJ115" s="62">
        <f t="shared" si="92"/>
        <v>182.40373266220317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-3.694822225952521E-13</v>
      </c>
      <c r="BZ115" s="14">
        <f>BY115*VLOOKUP('Données projet'!$B$12,Paramètres!$A$1:$I$89,3,0)*VLOOKUP('Données projet'!$B$12,Paramètres!$A$1:$I$89,5,0)</f>
        <v>-3.2277966965921228E-13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325.33012514933523</v>
      </c>
      <c r="CE115" s="62">
        <f t="shared" si="94"/>
        <v>332.38915219929675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0.9522320464709384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1.1481891516194476E-11</v>
      </c>
      <c r="CN115" s="24">
        <f t="shared" si="66"/>
        <v>0.95223204648242032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280.64530612888962</v>
      </c>
      <c r="S116" s="62">
        <f ca="1">AVERAGE(OFFSET($R$3,0,0,'Données projet'!$E$9+1,1))-AVERAGE(OFFSET($H$3,0,0,'Données projet'!$E$9+1,1))</f>
        <v>319.74550658573207</v>
      </c>
      <c r="T116" s="62">
        <f t="shared" si="88"/>
        <v>231.35643408122294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0.73312783160825112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2.0558213279341526E-12</v>
      </c>
      <c r="AC116" s="24">
        <f t="shared" si="57"/>
        <v>0.73312783161030692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254.64144953102331</v>
      </c>
      <c r="AO116" s="62">
        <f t="shared" si="90"/>
        <v>361.41009011468407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0.31279987847522128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1.3610351838419935E-12</v>
      </c>
      <c r="AX116" s="23">
        <f t="shared" si="60"/>
        <v>0.3127998784765823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</v>
      </c>
      <c r="BD116" s="13">
        <f>IF('Données projet'!$A$88&gt;35,BD115+BC116-BL115,IF(A116&lt;'Données projet'!$A$88,$BA$205^A116,IF(A116='Données projet'!$A$88,'Données projet'!$B$88,BD115+BC116-BL115)))</f>
        <v>215.00000000000003</v>
      </c>
      <c r="BE116" s="14">
        <f>BD116*VLOOKUP('Données projet'!$B$11,Paramètres!$A$1:$I$89,3,0)*VLOOKUP('Données projet'!$B$11,Paramètres!$A$1:$I$89,5,0)</f>
        <v>224.71800000000007</v>
      </c>
      <c r="BF116" s="14">
        <f t="shared" si="91"/>
        <v>55.13904993933199</v>
      </c>
      <c r="BG116" s="22">
        <f t="shared" si="61"/>
        <v>487.41769531100323</v>
      </c>
      <c r="BH116" s="62">
        <f t="shared" si="62"/>
        <v>768.06300143989085</v>
      </c>
      <c r="BI116" s="62">
        <f ca="1">AVERAGE(OFFSET($BH$3,0,0,'Données projet'!$E$11+1,1))-AVERAGE(OFFSET($H$3,0,0,'Données projet'!$E$11+1,1))</f>
        <v>352.34406861564418</v>
      </c>
      <c r="BJ116" s="62">
        <f t="shared" si="92"/>
        <v>182.40373266220317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-3.694822225952521E-13</v>
      </c>
      <c r="BZ116" s="14">
        <f>BY116*VLOOKUP('Données projet'!$B$12,Paramètres!$A$1:$I$89,3,0)*VLOOKUP('Données projet'!$B$12,Paramètres!$A$1:$I$89,5,0)</f>
        <v>-3.2277966965921228E-13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325.33012514933523</v>
      </c>
      <c r="CE116" s="62">
        <f t="shared" si="94"/>
        <v>332.38915219929675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0.93355935684384195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8.1189233519494036E-12</v>
      </c>
      <c r="CN116" s="24">
        <f t="shared" si="66"/>
        <v>0.9335593568519609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280.86541503470744</v>
      </c>
      <c r="S117" s="62">
        <f ca="1">AVERAGE(OFFSET($R$3,0,0,'Données projet'!$E$9+1,1))-AVERAGE(OFFSET($H$3,0,0,'Données projet'!$E$9+1,1))</f>
        <v>319.74550658573207</v>
      </c>
      <c r="T117" s="62">
        <f t="shared" si="88"/>
        <v>231.35643408122294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0.7187516419942368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1.4536852018901724E-12</v>
      </c>
      <c r="AC117" s="24">
        <f t="shared" si="57"/>
        <v>0.71875164199569053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254.64144953102331</v>
      </c>
      <c r="AO117" s="62">
        <f t="shared" si="90"/>
        <v>361.41009011468407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0.30666606364740923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9.6239720792815299E-13</v>
      </c>
      <c r="AX117" s="23">
        <f t="shared" si="60"/>
        <v>0.30666606364837162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</v>
      </c>
      <c r="BD117" s="13">
        <f>IF('Données projet'!$A$88&gt;35,BD116+BC117-BL116,IF(A117&lt;'Données projet'!$A$88,$BA$205^A117,IF(A117='Données projet'!$A$88,'Données projet'!$B$88,BD116+BC117-BL116)))</f>
        <v>218.00000000000003</v>
      </c>
      <c r="BE117" s="14">
        <f>BD117*VLOOKUP('Données projet'!$B$11,Paramètres!$A$1:$I$89,3,0)*VLOOKUP('Données projet'!$B$11,Paramètres!$A$1:$I$89,5,0)</f>
        <v>227.85360000000006</v>
      </c>
      <c r="BF117" s="14">
        <f t="shared" si="91"/>
        <v>55.818326719749848</v>
      </c>
      <c r="BG117" s="22">
        <f t="shared" si="61"/>
        <v>494.06193903689768</v>
      </c>
      <c r="BH117" s="62">
        <f t="shared" si="62"/>
        <v>774.92735407160308</v>
      </c>
      <c r="BI117" s="62">
        <f ca="1">AVERAGE(OFFSET($BH$3,0,0,'Données projet'!$E$11+1,1))-AVERAGE(OFFSET($H$3,0,0,'Données projet'!$E$11+1,1))</f>
        <v>352.34406861564418</v>
      </c>
      <c r="BJ117" s="62">
        <f t="shared" si="92"/>
        <v>182.40373266220317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-3.694822225952521E-13</v>
      </c>
      <c r="BZ117" s="14">
        <f>BY117*VLOOKUP('Données projet'!$B$12,Paramètres!$A$1:$I$89,3,0)*VLOOKUP('Données projet'!$B$12,Paramètres!$A$1:$I$89,5,0)</f>
        <v>-3.2277966965921228E-13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325.33012514933523</v>
      </c>
      <c r="CE117" s="62">
        <f t="shared" si="94"/>
        <v>332.38915219929675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0.91525282727111679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5.740945758097238E-12</v>
      </c>
      <c r="CN117" s="24">
        <f t="shared" si="66"/>
        <v>0.91525282727685775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281.08170554309925</v>
      </c>
      <c r="S118" s="62">
        <f ca="1">AVERAGE(OFFSET($R$3,0,0,'Données projet'!$E$9+1,1))-AVERAGE(OFFSET($H$3,0,0,'Données projet'!$E$9+1,1))</f>
        <v>319.74550658573207</v>
      </c>
      <c r="T118" s="62">
        <f t="shared" si="88"/>
        <v>231.35643408122294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0.70465736068994345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1.0279106639670763E-12</v>
      </c>
      <c r="AC118" s="24">
        <f t="shared" si="57"/>
        <v>0.7046573606909714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254.64144953102331</v>
      </c>
      <c r="AO118" s="62">
        <f t="shared" si="90"/>
        <v>361.41009011468407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0.30065252918711294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6.8051759192099677E-13</v>
      </c>
      <c r="AX118" s="23">
        <f t="shared" si="60"/>
        <v>0.30065252918779345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221</v>
      </c>
      <c r="BB118" s="13">
        <f>VLOOKUP(A118,'Données projet'!$A$87:$I$107,9,0)</f>
        <v>3</v>
      </c>
      <c r="BC118" s="13">
        <f t="array" ref="BC118">INDEX(BB:BB,MIN(IF(ISNUMBER(BB118:BB314),ROW(BB118:BB314),"")))</f>
        <v>3</v>
      </c>
      <c r="BD118" s="13">
        <f>IF('Données projet'!$A$88&gt;35,BD117+BC118-BL117,IF(A118&lt;'Données projet'!$A$88,$BA$205^A118,IF(A118='Données projet'!$A$88,'Données projet'!$B$88,BD117+BC118-BL117)))</f>
        <v>221.00000000000003</v>
      </c>
      <c r="BE118" s="14">
        <f>BD118*VLOOKUP('Données projet'!$B$11,Paramètres!$A$1:$I$89,3,0)*VLOOKUP('Données projet'!$B$11,Paramètres!$A$1:$I$89,5,0)</f>
        <v>230.98920000000004</v>
      </c>
      <c r="BF118" s="14">
        <f t="shared" si="91"/>
        <v>56.496516245657276</v>
      </c>
      <c r="BG118" s="22">
        <f t="shared" si="61"/>
        <v>500.70428912785314</v>
      </c>
      <c r="BH118" s="62">
        <f t="shared" si="62"/>
        <v>781.78599467095046</v>
      </c>
      <c r="BI118" s="62">
        <f ca="1">AVERAGE(OFFSET($BH$3,0,0,'Données projet'!$E$11+1,1))-AVERAGE(OFFSET($H$3,0,0,'Données projet'!$E$11+1,1))</f>
        <v>352.34406861564418</v>
      </c>
      <c r="BJ118" s="62">
        <f t="shared" si="92"/>
        <v>182.40373266220317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13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-3.694822225952521E-13</v>
      </c>
      <c r="BZ118" s="14">
        <f>BY118*VLOOKUP('Données projet'!$B$12,Paramètres!$A$1:$I$89,3,0)*VLOOKUP('Données projet'!$B$12,Paramètres!$A$1:$I$89,5,0)</f>
        <v>-3.2277966965921228E-13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325.33012514933523</v>
      </c>
      <c r="CE118" s="62">
        <f t="shared" si="94"/>
        <v>332.38915219929675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0.89730527757743228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4.0594616759747018E-12</v>
      </c>
      <c r="CN118" s="24">
        <f t="shared" si="66"/>
        <v>0.8973052775814917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281.29424389472348</v>
      </c>
      <c r="S119" s="62">
        <f ca="1">AVERAGE(OFFSET($R$3,0,0,'Données projet'!$E$9+1,1))-AVERAGE(OFFSET($H$3,0,0,'Données projet'!$E$9+1,1))</f>
        <v>319.74550658573207</v>
      </c>
      <c r="T119" s="62">
        <f t="shared" si="88"/>
        <v>231.35643408122294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0.69083945964536464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7.2684260094508621E-13</v>
      </c>
      <c r="AC119" s="24">
        <f t="shared" si="57"/>
        <v>0.6908394596460915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254.64144953102331</v>
      </c>
      <c r="AO119" s="62">
        <f t="shared" si="90"/>
        <v>361.41009011468407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0.29475691646968921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4.8119860396407649E-13</v>
      </c>
      <c r="AX119" s="23">
        <f t="shared" si="60"/>
        <v>0.29475691647017044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2.6</v>
      </c>
      <c r="BD119" s="13">
        <f>IF('Données projet'!$A$88&gt;35,BD118+BC119-BL118,IF(A119&lt;'Données projet'!$A$88,$BA$205^A119,IF(A119='Données projet'!$A$88,'Données projet'!$B$88,BD118+BC119-BL118)))</f>
        <v>210.60000000000002</v>
      </c>
      <c r="BE119" s="14">
        <f>BD119*VLOOKUP('Données projet'!$B$11,Paramètres!$A$1:$I$89,3,0)*VLOOKUP('Données projet'!$B$11,Paramètres!$A$1:$I$89,5,0)</f>
        <v>220.11912000000007</v>
      </c>
      <c r="BF119" s="14">
        <f t="shared" si="91"/>
        <v>54.140775048344437</v>
      </c>
      <c r="BG119" s="22">
        <f t="shared" si="61"/>
        <v>477.66931720920002</v>
      </c>
      <c r="BH119" s="62">
        <f t="shared" si="62"/>
        <v>758.96356110392151</v>
      </c>
      <c r="BI119" s="62">
        <f ca="1">AVERAGE(OFFSET($BH$3,0,0,'Données projet'!$E$11+1,1))-AVERAGE(OFFSET($H$3,0,0,'Données projet'!$E$11+1,1))</f>
        <v>352.34406861564418</v>
      </c>
      <c r="BJ119" s="62">
        <f t="shared" si="92"/>
        <v>182.40373266220317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-3.694822225952521E-13</v>
      </c>
      <c r="BZ119" s="14">
        <f>BY119*VLOOKUP('Données projet'!$B$12,Paramètres!$A$1:$I$89,3,0)*VLOOKUP('Données projet'!$B$12,Paramètres!$A$1:$I$89,5,0)</f>
        <v>-3.2277966965921228E-13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325.33012514933523</v>
      </c>
      <c r="CE119" s="62">
        <f t="shared" si="94"/>
        <v>332.38915219929675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0.87970966838631659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2.870472879048619E-12</v>
      </c>
      <c r="CN119" s="24">
        <f t="shared" si="66"/>
        <v>0.87970966838918707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281.50309518111163</v>
      </c>
      <c r="S120" s="62">
        <f ca="1">AVERAGE(OFFSET($R$3,0,0,'Données projet'!$E$9+1,1))-AVERAGE(OFFSET($H$3,0,0,'Données projet'!$E$9+1,1))</f>
        <v>319.74550658573207</v>
      </c>
      <c r="T120" s="62">
        <f t="shared" si="88"/>
        <v>231.35643408122294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0.67729251921218259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5.1395533198353815E-13</v>
      </c>
      <c r="AC120" s="24">
        <f t="shared" si="57"/>
        <v>0.67729251921269651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254.64144953102331</v>
      </c>
      <c r="AO120" s="62">
        <f t="shared" si="90"/>
        <v>361.41009011468407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0.28897691312168544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3.4025879596049839E-13</v>
      </c>
      <c r="AX120" s="23">
        <f t="shared" si="60"/>
        <v>0.28897691312202572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2.6</v>
      </c>
      <c r="BD120" s="13">
        <f>IF('Données projet'!$A$88&gt;35,BD119+BC120-BL119,IF(A120&lt;'Données projet'!$A$88,$BA$205^A120,IF(A120='Données projet'!$A$88,'Données projet'!$B$88,BD119+BC120-BL119)))</f>
        <v>213.20000000000002</v>
      </c>
      <c r="BE120" s="14">
        <f>BD120*VLOOKUP('Données projet'!$B$11,Paramètres!$A$1:$I$89,3,0)*VLOOKUP('Données projet'!$B$11,Paramètres!$A$1:$I$89,5,0)</f>
        <v>222.83664000000005</v>
      </c>
      <c r="BF120" s="14">
        <f t="shared" si="91"/>
        <v>54.730954957867816</v>
      </c>
      <c r="BG120" s="22">
        <f t="shared" si="61"/>
        <v>483.43022788495318</v>
      </c>
      <c r="BH120" s="62">
        <f t="shared" si="62"/>
        <v>764.93332306606283</v>
      </c>
      <c r="BI120" s="62">
        <f ca="1">AVERAGE(OFFSET($BH$3,0,0,'Données projet'!$E$11+1,1))-AVERAGE(OFFSET($H$3,0,0,'Données projet'!$E$11+1,1))</f>
        <v>352.34406861564418</v>
      </c>
      <c r="BJ120" s="62">
        <f t="shared" si="92"/>
        <v>182.40373266220317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-3.694822225952521E-13</v>
      </c>
      <c r="BZ120" s="14">
        <f>BY120*VLOOKUP('Données projet'!$B$12,Paramètres!$A$1:$I$89,3,0)*VLOOKUP('Données projet'!$B$12,Paramètres!$A$1:$I$89,5,0)</f>
        <v>-3.2277966965921228E-13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325.33012514933523</v>
      </c>
      <c r="CE120" s="62">
        <f t="shared" si="94"/>
        <v>332.38915219929675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0.86245909835917678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2.0297308379873509E-12</v>
      </c>
      <c r="CN120" s="24">
        <f t="shared" si="66"/>
        <v>0.86245909836120649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281.70832336460239</v>
      </c>
      <c r="S121" s="62">
        <f ca="1">AVERAGE(OFFSET($R$3,0,0,'Données projet'!$E$9+1,1))-AVERAGE(OFFSET($H$3,0,0,'Données projet'!$E$9+1,1))</f>
        <v>319.74550658573207</v>
      </c>
      <c r="T121" s="62">
        <f t="shared" si="88"/>
        <v>231.35643408122294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0.66401122601807738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3.634213004725431E-13</v>
      </c>
      <c r="AC121" s="24">
        <f t="shared" si="57"/>
        <v>0.66401122601844076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254.64144953102331</v>
      </c>
      <c r="AO121" s="62">
        <f t="shared" si="90"/>
        <v>361.41009011468407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0.28331025211388211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2.4059930198203825E-13</v>
      </c>
      <c r="AX121" s="23">
        <f t="shared" si="60"/>
        <v>0.2833102521141227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2.6</v>
      </c>
      <c r="BD121" s="13">
        <f>IF('Données projet'!$A$88&gt;35,BD120+BC121-BL120,IF(A121&lt;'Données projet'!$A$88,$BA$205^A121,IF(A121='Données projet'!$A$88,'Données projet'!$B$88,BD120+BC121-BL120)))</f>
        <v>215.8</v>
      </c>
      <c r="BE121" s="14">
        <f>BD121*VLOOKUP('Données projet'!$B$11,Paramètres!$A$1:$I$89,3,0)*VLOOKUP('Données projet'!$B$11,Paramètres!$A$1:$I$89,5,0)</f>
        <v>225.55416000000002</v>
      </c>
      <c r="BF121" s="14">
        <f t="shared" si="91"/>
        <v>55.320297672197341</v>
      </c>
      <c r="BG121" s="22">
        <f t="shared" si="61"/>
        <v>489.18968044574376</v>
      </c>
      <c r="BH121" s="62">
        <f t="shared" si="62"/>
        <v>770.89800381034411</v>
      </c>
      <c r="BI121" s="62">
        <f ca="1">AVERAGE(OFFSET($BH$3,0,0,'Données projet'!$E$11+1,1))-AVERAGE(OFFSET($H$3,0,0,'Données projet'!$E$11+1,1))</f>
        <v>352.34406861564418</v>
      </c>
      <c r="BJ121" s="62">
        <f t="shared" si="92"/>
        <v>182.40373266220317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-3.694822225952521E-13</v>
      </c>
      <c r="BZ121" s="14">
        <f>BY121*VLOOKUP('Données projet'!$B$12,Paramètres!$A$1:$I$89,3,0)*VLOOKUP('Données projet'!$B$12,Paramètres!$A$1:$I$89,5,0)</f>
        <v>-3.2277966965921228E-13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325.33012514933523</v>
      </c>
      <c r="CE121" s="62">
        <f t="shared" si="94"/>
        <v>332.38915219929675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0.8455468014884604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1.4352364395243095E-12</v>
      </c>
      <c r="CN121" s="24">
        <f t="shared" si="66"/>
        <v>0.84554680148989558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281.90999129793113</v>
      </c>
      <c r="S122" s="62">
        <f ca="1">AVERAGE(OFFSET($R$3,0,0,'Données projet'!$E$9+1,1))-AVERAGE(OFFSET($H$3,0,0,'Données projet'!$E$9+1,1))</f>
        <v>319.74550658573207</v>
      </c>
      <c r="T122" s="62">
        <f t="shared" si="88"/>
        <v>231.35643408122294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0.6509903708827196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2.5697766599176907E-13</v>
      </c>
      <c r="AC122" s="24">
        <f t="shared" si="57"/>
        <v>0.65099037088297662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254.64144953102331</v>
      </c>
      <c r="AO122" s="62">
        <f t="shared" si="90"/>
        <v>361.41009011468407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0.27775471087211989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1.7012939798024919E-13</v>
      </c>
      <c r="AX122" s="23">
        <f t="shared" si="60"/>
        <v>0.27775471087229003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2.6</v>
      </c>
      <c r="BD122" s="13">
        <f>IF('Données projet'!$A$88&gt;35,BD121+BC122-BL121,IF(A122&lt;'Données projet'!$A$88,$BA$205^A122,IF(A122='Données projet'!$A$88,'Données projet'!$B$88,BD121+BC122-BL121)))</f>
        <v>218.4</v>
      </c>
      <c r="BE122" s="14">
        <f>BD122*VLOOKUP('Données projet'!$B$11,Paramètres!$A$1:$I$89,3,0)*VLOOKUP('Données projet'!$B$11,Paramètres!$A$1:$I$89,5,0)</f>
        <v>228.27168</v>
      </c>
      <c r="BF122" s="14">
        <f t="shared" si="91"/>
        <v>55.908814444767749</v>
      </c>
      <c r="BG122" s="22">
        <f t="shared" si="61"/>
        <v>494.94769449130382</v>
      </c>
      <c r="BH122" s="62">
        <f t="shared" si="62"/>
        <v>776.85768578923296</v>
      </c>
      <c r="BI122" s="62">
        <f ca="1">AVERAGE(OFFSET($BH$3,0,0,'Données projet'!$E$11+1,1))-AVERAGE(OFFSET($H$3,0,0,'Données projet'!$E$11+1,1))</f>
        <v>352.34406861564418</v>
      </c>
      <c r="BJ122" s="62">
        <f t="shared" si="92"/>
        <v>182.40373266220317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-3.694822225952521E-13</v>
      </c>
      <c r="BZ122" s="14">
        <f>BY122*VLOOKUP('Données projet'!$B$12,Paramètres!$A$1:$I$89,3,0)*VLOOKUP('Données projet'!$B$12,Paramètres!$A$1:$I$89,5,0)</f>
        <v>-3.2277966965921228E-13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325.33012514933523</v>
      </c>
      <c r="CE122" s="62">
        <f t="shared" si="94"/>
        <v>332.38915219929675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0.82896614444389627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1.0148654189936755E-12</v>
      </c>
      <c r="CN122" s="24">
        <f t="shared" si="66"/>
        <v>0.82896614444491112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282.10816074347861</v>
      </c>
      <c r="S123" s="62">
        <f ca="1">AVERAGE(OFFSET($R$3,0,0,'Données projet'!$E$9+1,1))-AVERAGE(OFFSET($H$3,0,0,'Données projet'!$E$9+1,1))</f>
        <v>319.74550658573207</v>
      </c>
      <c r="T123" s="62">
        <f t="shared" si="88"/>
        <v>231.35643408122294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0.63822484677462876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1.8171065023627155E-13</v>
      </c>
      <c r="AC123" s="24">
        <f t="shared" si="57"/>
        <v>0.63822484677481051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254.64144953102331</v>
      </c>
      <c r="AO123" s="62">
        <f t="shared" si="90"/>
        <v>361.41009011468407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0.27230811040556302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1.2029965099101912E-13</v>
      </c>
      <c r="AX123" s="23">
        <f t="shared" si="60"/>
        <v>0.27230811040568331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221</v>
      </c>
      <c r="BB123" s="13">
        <f>VLOOKUP(A123,'Données projet'!$A$87:$I$107,9,0)</f>
        <v>2.6</v>
      </c>
      <c r="BC123" s="13">
        <f t="array" ref="BC123">INDEX(BB:BB,MIN(IF(ISNUMBER(BB123:BB319),ROW(BB123:BB319),"")))</f>
        <v>2.6</v>
      </c>
      <c r="BD123" s="13">
        <f>IF('Données projet'!$A$88&gt;35,BD122+BC123-BL122,IF(A123&lt;'Données projet'!$A$88,$BA$205^A123,IF(A123='Données projet'!$A$88,'Données projet'!$B$88,BD122+BC123-BL122)))</f>
        <v>221</v>
      </c>
      <c r="BE123" s="14">
        <f>BD123*VLOOKUP('Données projet'!$B$11,Paramètres!$A$1:$I$89,3,0)*VLOOKUP('Données projet'!$B$11,Paramètres!$A$1:$I$89,5,0)</f>
        <v>230.98920000000004</v>
      </c>
      <c r="BF123" s="14">
        <f t="shared" si="91"/>
        <v>56.496516245657276</v>
      </c>
      <c r="BG123" s="22">
        <f t="shared" si="61"/>
        <v>500.70428912785314</v>
      </c>
      <c r="BH123" s="62">
        <f t="shared" si="62"/>
        <v>782.81244987132982</v>
      </c>
      <c r="BI123" s="62">
        <f ca="1">AVERAGE(OFFSET($BH$3,0,0,'Données projet'!$E$11+1,1))-AVERAGE(OFFSET($H$3,0,0,'Données projet'!$E$11+1,1))</f>
        <v>352.34406861564418</v>
      </c>
      <c r="BJ123" s="62">
        <f t="shared" si="92"/>
        <v>182.40373266220317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221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-3.694822225952521E-13</v>
      </c>
      <c r="BZ123" s="14">
        <f>BY123*VLOOKUP('Données projet'!$B$12,Paramètres!$A$1:$I$89,3,0)*VLOOKUP('Données projet'!$B$12,Paramètres!$A$1:$I$89,5,0)</f>
        <v>-3.2277966965921228E-13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325.33012514933523</v>
      </c>
      <c r="CE123" s="62">
        <f t="shared" si="94"/>
        <v>332.38915219929675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0.81271062397077376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7.1761821976215474E-13</v>
      </c>
      <c r="CN123" s="24">
        <f t="shared" si="66"/>
        <v>0.81271062397149141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282.30289239218638</v>
      </c>
      <c r="S124" s="62">
        <f ca="1">AVERAGE(OFFSET($R$3,0,0,'Données projet'!$E$9+1,1))-AVERAGE(OFFSET($H$3,0,0,'Données projet'!$E$9+1,1))</f>
        <v>319.74550658573207</v>
      </c>
      <c r="T124" s="62">
        <f t="shared" si="88"/>
        <v>231.35643408122294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0.62570964680809671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1.2848883299588454E-13</v>
      </c>
      <c r="AC124" s="24">
        <f t="shared" si="57"/>
        <v>0.62570964680822516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254.64144953102331</v>
      </c>
      <c r="AO124" s="62">
        <f t="shared" si="90"/>
        <v>361.41009011468407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0.2669683144520571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8.5064698990124596E-14</v>
      </c>
      <c r="AX124" s="23">
        <f t="shared" si="60"/>
        <v>0.26696831445214214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352.34406861564418</v>
      </c>
      <c r="BJ124" s="62">
        <f t="shared" si="92"/>
        <v>182.40373266220317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-3.694822225952521E-13</v>
      </c>
      <c r="BZ124" s="14">
        <f>BY124*VLOOKUP('Données projet'!$B$12,Paramètres!$A$1:$I$89,3,0)*VLOOKUP('Données projet'!$B$12,Paramètres!$A$1:$I$89,5,0)</f>
        <v>-3.2277966965921228E-13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325.33012514933523</v>
      </c>
      <c r="CE124" s="62">
        <f t="shared" si="94"/>
        <v>332.38915219929675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0.7967738643392408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5.0743270949683773E-13</v>
      </c>
      <c r="CN124" s="24">
        <f t="shared" si="66"/>
        <v>0.79677386433974828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282.49424588214379</v>
      </c>
      <c r="S125" s="62">
        <f ca="1">AVERAGE(OFFSET($R$3,0,0,'Données projet'!$E$9+1,1))-AVERAGE(OFFSET($H$3,0,0,'Données projet'!$E$9+1,1))</f>
        <v>319.74550658573207</v>
      </c>
      <c r="T125" s="62">
        <f t="shared" si="88"/>
        <v>231.35643408122294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0.61343986227939018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9.0855325118135776E-14</v>
      </c>
      <c r="AC125" s="24">
        <f t="shared" si="57"/>
        <v>0.613439862279481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254.64144953102331</v>
      </c>
      <c r="AO125" s="62">
        <f t="shared" si="90"/>
        <v>361.41009011468407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0.26173322864024551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6.0149825495509562E-14</v>
      </c>
      <c r="AX125" s="23">
        <f t="shared" si="60"/>
        <v>0.26173322864030568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352.34406861564418</v>
      </c>
      <c r="BJ125" s="62">
        <f t="shared" si="92"/>
        <v>182.40373266220317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-3.694822225952521E-13</v>
      </c>
      <c r="BZ125" s="14">
        <f>BY125*VLOOKUP('Données projet'!$B$12,Paramètres!$A$1:$I$89,3,0)*VLOOKUP('Données projet'!$B$12,Paramètres!$A$1:$I$89,5,0)</f>
        <v>-3.2277966965921228E-13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325.33012514933523</v>
      </c>
      <c r="CE125" s="62">
        <f t="shared" si="94"/>
        <v>332.38915219929675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0.78114961484361856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3.5880910988107737E-13</v>
      </c>
      <c r="CN125" s="24">
        <f t="shared" si="66"/>
        <v>0.78114961484397738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282.68227981685266</v>
      </c>
      <c r="S126" s="62">
        <f ca="1">AVERAGE(OFFSET($R$3,0,0,'Données projet'!$E$9+1,1))-AVERAGE(OFFSET($H$3,0,0,'Données projet'!$E$9+1,1))</f>
        <v>319.74550658573207</v>
      </c>
      <c r="T126" s="62">
        <f t="shared" si="88"/>
        <v>231.35643408122294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0.60141068074146198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6.4244416497942268E-14</v>
      </c>
      <c r="AC126" s="24">
        <f t="shared" si="57"/>
        <v>0.60141068074152626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254.64144953102331</v>
      </c>
      <c r="AO126" s="62">
        <f t="shared" si="90"/>
        <v>361.41009011468407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0.2566007996681165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4.2532349495062298E-14</v>
      </c>
      <c r="AX126" s="23">
        <f t="shared" si="60"/>
        <v>0.25660079966815902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352.34406861564418</v>
      </c>
      <c r="BJ126" s="62">
        <f t="shared" si="92"/>
        <v>182.40373266220317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-3.694822225952521E-13</v>
      </c>
      <c r="BZ126" s="14">
        <f>BY126*VLOOKUP('Données projet'!$B$12,Paramètres!$A$1:$I$89,3,0)*VLOOKUP('Données projet'!$B$12,Paramètres!$A$1:$I$89,5,0)</f>
        <v>-3.2277966965921228E-13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325.33012514933523</v>
      </c>
      <c r="CE126" s="62">
        <f t="shared" si="94"/>
        <v>332.38915219929675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0.76583174735075432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2.5371635474841886E-13</v>
      </c>
      <c r="CN126" s="24">
        <f t="shared" si="66"/>
        <v>0.76583174735100801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282.86705178317533</v>
      </c>
      <c r="S127" s="62">
        <f ca="1">AVERAGE(OFFSET($R$3,0,0,'Données projet'!$E$9+1,1))-AVERAGE(OFFSET($H$3,0,0,'Données projet'!$E$9+1,1))</f>
        <v>319.74550658573207</v>
      </c>
      <c r="T127" s="62">
        <f t="shared" si="88"/>
        <v>231.35643408122294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0.58961738411641629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4.5427662559067888E-14</v>
      </c>
      <c r="AC127" s="24">
        <f t="shared" si="57"/>
        <v>0.5896173841164617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254.64144953102331</v>
      </c>
      <c r="AO127" s="62">
        <f t="shared" si="90"/>
        <v>361.41009011468407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0.25156901449765834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3.0074912747754781E-14</v>
      </c>
      <c r="AX127" s="23">
        <f t="shared" si="60"/>
        <v>0.25156901449768843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352.34406861564418</v>
      </c>
      <c r="BJ127" s="62">
        <f t="shared" si="92"/>
        <v>182.40373266220317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-3.694822225952521E-13</v>
      </c>
      <c r="BZ127" s="14">
        <f>BY127*VLOOKUP('Données projet'!$B$12,Paramètres!$A$1:$I$89,3,0)*VLOOKUP('Données projet'!$B$12,Paramètres!$A$1:$I$89,5,0)</f>
        <v>-3.2277966965921228E-13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325.33012514933523</v>
      </c>
      <c r="CE127" s="62">
        <f t="shared" si="94"/>
        <v>332.38915219929675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0.75081425389644851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1.7940455494053869E-13</v>
      </c>
      <c r="CN127" s="24">
        <f t="shared" si="66"/>
        <v>0.75081425389662793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283.04861836897049</v>
      </c>
      <c r="S128" s="62">
        <f ca="1">AVERAGE(OFFSET($R$3,0,0,'Données projet'!$E$9+1,1))-AVERAGE(OFFSET($H$3,0,0,'Données projet'!$E$9+1,1))</f>
        <v>319.74550658573207</v>
      </c>
      <c r="T128" s="62">
        <f t="shared" si="88"/>
        <v>231.35643408122294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0.57805534684498705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3.2122208248971134E-14</v>
      </c>
      <c r="AC128" s="24">
        <f t="shared" si="57"/>
        <v>0.57805534684501914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254.64144953102331</v>
      </c>
      <c r="AO128" s="62">
        <f t="shared" si="90"/>
        <v>361.41009011468407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0.24663589956530696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2.1266174747531149E-14</v>
      </c>
      <c r="AX128" s="23">
        <f t="shared" si="60"/>
        <v>0.24663589956532822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352.34406861564418</v>
      </c>
      <c r="BJ128" s="62">
        <f t="shared" si="92"/>
        <v>182.40373266220317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-3.694822225952521E-13</v>
      </c>
      <c r="BZ128" s="14">
        <f>BY128*VLOOKUP('Données projet'!$B$12,Paramètres!$A$1:$I$89,3,0)*VLOOKUP('Données projet'!$B$12,Paramètres!$A$1:$I$89,5,0)</f>
        <v>-3.2277966965921228E-13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325.33012514933523</v>
      </c>
      <c r="CE128" s="62">
        <f t="shared" si="94"/>
        <v>332.38915219929675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0.73609124432901507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1.2685817737420943E-13</v>
      </c>
      <c r="CN128" s="24">
        <f t="shared" si="66"/>
        <v>0.73609124432914197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283.2270351804242</v>
      </c>
      <c r="S129" s="62">
        <f ca="1">AVERAGE(OFFSET($R$3,0,0,'Données projet'!$E$9+1,1))-AVERAGE(OFFSET($H$3,0,0,'Données projet'!$E$9+1,1))</f>
        <v>319.74550658573207</v>
      </c>
      <c r="T129" s="62">
        <f t="shared" si="88"/>
        <v>231.35643408122294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0.5667200340723042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2.2713831279533944E-14</v>
      </c>
      <c r="AC129" s="24">
        <f t="shared" si="57"/>
        <v>0.56672003407232696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254.64144953102331</v>
      </c>
      <c r="AO129" s="62">
        <f t="shared" si="90"/>
        <v>361.41009011468407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0.241799520007876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1.503745637387739E-14</v>
      </c>
      <c r="AX129" s="23">
        <f t="shared" si="60"/>
        <v>0.24179952000789104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352.34406861564418</v>
      </c>
      <c r="BJ129" s="62">
        <f t="shared" si="92"/>
        <v>182.40373266220317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-3.694822225952521E-13</v>
      </c>
      <c r="BZ129" s="14">
        <f>BY129*VLOOKUP('Données projet'!$B$12,Paramètres!$A$1:$I$89,3,0)*VLOOKUP('Données projet'!$B$12,Paramètres!$A$1:$I$89,5,0)</f>
        <v>-3.2277966965921228E-13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325.33012514933523</v>
      </c>
      <c r="CE129" s="62">
        <f t="shared" si="94"/>
        <v>332.38915219929675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0.72165694399904989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8.9702277470269343E-14</v>
      </c>
      <c r="CN129" s="24">
        <f t="shared" si="66"/>
        <v>0.7216569439991396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283.40235685907942</v>
      </c>
      <c r="S130" s="62">
        <f ca="1">AVERAGE(OFFSET($R$3,0,0,'Données projet'!$E$9+1,1))-AVERAGE(OFFSET($H$3,0,0,'Données projet'!$E$9+1,1))</f>
        <v>319.74550658573207</v>
      </c>
      <c r="T130" s="62">
        <f t="shared" si="88"/>
        <v>231.35643408122294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0.55560699986923556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1.6061104124485567E-14</v>
      </c>
      <c r="AC130" s="24">
        <f t="shared" si="57"/>
        <v>0.55560699986925166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254.64144953102331</v>
      </c>
      <c r="AO130" s="62">
        <f t="shared" si="90"/>
        <v>361.41009011468407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0.23705797890366601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1.0633087373765575E-14</v>
      </c>
      <c r="AX130" s="23">
        <f t="shared" si="60"/>
        <v>0.23705797890367664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352.34406861564418</v>
      </c>
      <c r="BJ130" s="62">
        <f t="shared" si="92"/>
        <v>182.40373266220317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-3.694822225952521E-13</v>
      </c>
      <c r="BZ130" s="14">
        <f>BY130*VLOOKUP('Données projet'!$B$12,Paramètres!$A$1:$I$89,3,0)*VLOOKUP('Données projet'!$B$12,Paramètres!$A$1:$I$89,5,0)</f>
        <v>-3.2277966965921228E-13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325.33012514933523</v>
      </c>
      <c r="CE130" s="62">
        <f t="shared" si="94"/>
        <v>332.38915219929675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0.70750569149450149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6.3429088687104716E-14</v>
      </c>
      <c r="CN130" s="24">
        <f t="shared" si="66"/>
        <v>0.70750569149456488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283.57463709857052</v>
      </c>
      <c r="S131" s="62">
        <f ca="1">AVERAGE(OFFSET($R$3,0,0,'Données projet'!$E$9+1,1))-AVERAGE(OFFSET($H$3,0,0,'Données projet'!$E$9+1,1))</f>
        <v>319.74550658573207</v>
      </c>
      <c r="T131" s="62">
        <f t="shared" si="88"/>
        <v>231.35643408122294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0.54471188548860749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1.1356915639766972E-14</v>
      </c>
      <c r="AC131" s="24">
        <f t="shared" si="57"/>
        <v>0.54471188548861882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254.64144953102331</v>
      </c>
      <c r="AO131" s="62">
        <f t="shared" si="90"/>
        <v>361.41009011468407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0.23240941652845507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7.5187281869386952E-15</v>
      </c>
      <c r="AX131" s="23">
        <f t="shared" si="60"/>
        <v>0.23240941652846259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352.34406861564418</v>
      </c>
      <c r="BJ131" s="62">
        <f t="shared" si="92"/>
        <v>182.40373266220317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-3.694822225952521E-13</v>
      </c>
      <c r="BZ131" s="14">
        <f>BY131*VLOOKUP('Données projet'!$B$12,Paramètres!$A$1:$I$89,3,0)*VLOOKUP('Données projet'!$B$12,Paramètres!$A$1:$I$89,5,0)</f>
        <v>-3.2277966965921228E-13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325.33012514933523</v>
      </c>
      <c r="CE131" s="62">
        <f t="shared" si="94"/>
        <v>332.38915219929675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0.69363193642015553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4.4851138735134672E-14</v>
      </c>
      <c r="CN131" s="24">
        <f t="shared" si="66"/>
        <v>0.69363193642020038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283.74392866106734</v>
      </c>
      <c r="S132" s="62">
        <f ca="1">AVERAGE(OFFSET($R$3,0,0,'Données projet'!$E$9+1,1))-AVERAGE(OFFSET($H$3,0,0,'Données projet'!$E$9+1,1))</f>
        <v>319.74550658573207</v>
      </c>
      <c r="T132" s="62">
        <f t="shared" si="88"/>
        <v>231.35643408122294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0.53403041765561998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8.0305520622427835E-15</v>
      </c>
      <c r="AC132" s="24">
        <f t="shared" ref="AC132:AC153" si="111">SUM(Z132:AB132)</f>
        <v>0.53403041765562798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254.64144953102331</v>
      </c>
      <c r="AO132" s="62">
        <f t="shared" si="90"/>
        <v>361.41009011468407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0.22785200962607893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5.3165436868827873E-15</v>
      </c>
      <c r="AX132" s="23">
        <f t="shared" ref="AX132:AX153" si="114">SUM(AU132:AW132)</f>
        <v>0.22785200962608426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352.34406861564418</v>
      </c>
      <c r="BJ132" s="62">
        <f t="shared" si="92"/>
        <v>182.40373266220317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-3.694822225952521E-13</v>
      </c>
      <c r="BZ132" s="14">
        <f>BY132*VLOOKUP('Données projet'!$B$12,Paramètres!$A$1:$I$89,3,0)*VLOOKUP('Données projet'!$B$12,Paramètres!$A$1:$I$89,5,0)</f>
        <v>-3.2277966965921228E-13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325.33012514933523</v>
      </c>
      <c r="CE132" s="62">
        <f t="shared" si="94"/>
        <v>332.38915219929675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0.68003023722066247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3.1714544343552358E-14</v>
      </c>
      <c r="CN132" s="24">
        <f t="shared" ref="CN132:CN153" si="120">SUM(CK132:CM132)</f>
        <v>0.68003023722069422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283.9102833934341</v>
      </c>
      <c r="S133" s="62">
        <f ca="1">AVERAGE(OFFSET($R$3,0,0,'Données projet'!$E$9+1,1))-AVERAGE(OFFSET($H$3,0,0,'Données projet'!$E$9+1,1))</f>
        <v>319.74550658573207</v>
      </c>
      <c r="T133" s="62">
        <f t="shared" ref="T133:T196" si="142">$T$3</f>
        <v>231.35643408122294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0.52355840689178523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5.678457819883486E-15</v>
      </c>
      <c r="AC133" s="24">
        <f t="shared" si="111"/>
        <v>0.5235584068917909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254.64144953102331</v>
      </c>
      <c r="AO133" s="62">
        <f t="shared" ref="AO133:AO196" si="144">$AO$3</f>
        <v>361.41009011468407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0.22338397069331464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3.7593640934693476E-15</v>
      </c>
      <c r="AX133" s="23">
        <f t="shared" si="114"/>
        <v>0.22338397069331839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352.34406861564418</v>
      </c>
      <c r="BJ133" s="62">
        <f t="shared" ref="BJ133:BJ196" si="146">$BJ$3</f>
        <v>182.40373266220317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-3.694822225952521E-13</v>
      </c>
      <c r="BZ133" s="14">
        <f>BY133*VLOOKUP('Données projet'!$B$12,Paramètres!$A$1:$I$89,3,0)*VLOOKUP('Données projet'!$B$12,Paramètres!$A$1:$I$89,5,0)</f>
        <v>-3.2277966965921228E-13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325.33012514933523</v>
      </c>
      <c r="CE133" s="62">
        <f t="shared" ref="CE133:CE196" si="148">$CE$3</f>
        <v>332.38915219929675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0.66669525904625415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2.2425569367567336E-14</v>
      </c>
      <c r="CN133" s="24">
        <f t="shared" si="120"/>
        <v>0.66669525904627658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284.07375224310772</v>
      </c>
      <c r="S134" s="62">
        <f ca="1">AVERAGE(OFFSET($R$3,0,0,'Données projet'!$E$9+1,1))-AVERAGE(OFFSET($H$3,0,0,'Données projet'!$E$9+1,1))</f>
        <v>319.74550658573207</v>
      </c>
      <c r="T134" s="62">
        <f t="shared" si="142"/>
        <v>231.35643408122294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0.51329174587173343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4.0152760311213918E-15</v>
      </c>
      <c r="AC134" s="24">
        <f t="shared" si="111"/>
        <v>0.51329174587173743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254.64144953102331</v>
      </c>
      <c r="AO134" s="62">
        <f t="shared" si="144"/>
        <v>361.41009011468407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0.21900354727878721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2.6582718434413936E-15</v>
      </c>
      <c r="AX134" s="23">
        <f t="shared" si="114"/>
        <v>0.21900354727878987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352.34406861564418</v>
      </c>
      <c r="BJ134" s="62">
        <f t="shared" si="146"/>
        <v>182.40373266220317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-3.694822225952521E-13</v>
      </c>
      <c r="BZ134" s="14">
        <f>BY134*VLOOKUP('Données projet'!$B$12,Paramètres!$A$1:$I$89,3,0)*VLOOKUP('Données projet'!$B$12,Paramètres!$A$1:$I$89,5,0)</f>
        <v>-3.2277966965921228E-13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325.33012514933523</v>
      </c>
      <c r="CE134" s="62">
        <f t="shared" si="148"/>
        <v>332.38915219929675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0.65362177166031232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1.5857272171776179E-14</v>
      </c>
      <c r="CN134" s="24">
        <f t="shared" si="120"/>
        <v>0.6536217716603282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284.23438527370115</v>
      </c>
      <c r="S135" s="62">
        <f ca="1">AVERAGE(OFFSET($R$3,0,0,'Données projet'!$E$9+1,1))-AVERAGE(OFFSET($H$3,0,0,'Données projet'!$E$9+1,1))</f>
        <v>319.74550658573207</v>
      </c>
      <c r="T135" s="62">
        <f t="shared" si="142"/>
        <v>231.35643408122294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0.50322640781223993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2.839228909941743E-15</v>
      </c>
      <c r="AC135" s="24">
        <f t="shared" si="111"/>
        <v>0.50322640781224282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254.64144953102331</v>
      </c>
      <c r="AO135" s="62">
        <f t="shared" si="144"/>
        <v>361.41009011468407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0.21470902129562419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1.8796820467346738E-15</v>
      </c>
      <c r="AX135" s="23">
        <f t="shared" si="114"/>
        <v>0.21470902129562608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352.34406861564418</v>
      </c>
      <c r="BJ135" s="62">
        <f t="shared" si="146"/>
        <v>182.40373266220317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-3.694822225952521E-13</v>
      </c>
      <c r="BZ135" s="14">
        <f>BY135*VLOOKUP('Données projet'!$B$12,Paramètres!$A$1:$I$89,3,0)*VLOOKUP('Données projet'!$B$12,Paramètres!$A$1:$I$89,5,0)</f>
        <v>-3.2277966965921228E-13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325.33012514933523</v>
      </c>
      <c r="CE135" s="62">
        <f t="shared" si="148"/>
        <v>332.38915219929675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0.64080464738796894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1.1212784683783668E-14</v>
      </c>
      <c r="CN135" s="24">
        <f t="shared" si="120"/>
        <v>0.64080464738798015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284.39223168033539</v>
      </c>
      <c r="S136" s="62">
        <f ca="1">AVERAGE(OFFSET($R$3,0,0,'Données projet'!$E$9+1,1))-AVERAGE(OFFSET($H$3,0,0,'Données projet'!$E$9+1,1))</f>
        <v>319.74550658573207</v>
      </c>
      <c r="T136" s="62">
        <f t="shared" si="142"/>
        <v>231.35643408122294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0.49335844489284308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2.0076380155606959E-15</v>
      </c>
      <c r="AC136" s="24">
        <f t="shared" si="111"/>
        <v>0.49335844489284508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254.64144953102331</v>
      </c>
      <c r="AO136" s="62">
        <f t="shared" si="144"/>
        <v>361.41009011468407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0.2104987083475888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1.3291359217206968E-15</v>
      </c>
      <c r="AX136" s="23">
        <f t="shared" si="114"/>
        <v>0.21049870834759013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352.34406861564418</v>
      </c>
      <c r="BJ136" s="62">
        <f t="shared" si="146"/>
        <v>182.40373266220317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-3.694822225952521E-13</v>
      </c>
      <c r="BZ136" s="14">
        <f>BY136*VLOOKUP('Données projet'!$B$12,Paramètres!$A$1:$I$89,3,0)*VLOOKUP('Données projet'!$B$12,Paramètres!$A$1:$I$89,5,0)</f>
        <v>-3.2277966965921228E-13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325.33012514933523</v>
      </c>
      <c r="CE136" s="62">
        <f t="shared" si="148"/>
        <v>332.38915219929675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0.62823885910493227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7.9286360858880895E-15</v>
      </c>
      <c r="CN136" s="24">
        <f t="shared" si="120"/>
        <v>0.62823885910494015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284.54733980470627</v>
      </c>
      <c r="S137" s="62">
        <f ca="1">AVERAGE(OFFSET($R$3,0,0,'Données projet'!$E$9+1,1))-AVERAGE(OFFSET($H$3,0,0,'Données projet'!$E$9+1,1))</f>
        <v>319.74550658573207</v>
      </c>
      <c r="T137" s="62">
        <f t="shared" si="142"/>
        <v>231.35643408122294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0.48368398670743251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1.4196144549708715E-15</v>
      </c>
      <c r="AC137" s="24">
        <f t="shared" si="111"/>
        <v>0.48368398670743395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254.64144953102331</v>
      </c>
      <c r="AO137" s="62">
        <f t="shared" si="144"/>
        <v>361.41009011468407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0.20637095706842706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9.398410233673369E-16</v>
      </c>
      <c r="AX137" s="23">
        <f t="shared" si="114"/>
        <v>0.20637095706842801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352.34406861564418</v>
      </c>
      <c r="BJ137" s="62">
        <f t="shared" si="146"/>
        <v>182.40373266220317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-3.694822225952521E-13</v>
      </c>
      <c r="BZ137" s="14">
        <f>BY137*VLOOKUP('Données projet'!$B$12,Paramètres!$A$1:$I$89,3,0)*VLOOKUP('Données projet'!$B$12,Paramètres!$A$1:$I$89,5,0)</f>
        <v>-3.2277966965921228E-13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325.33012514933523</v>
      </c>
      <c r="CE137" s="62">
        <f t="shared" si="148"/>
        <v>332.38915219929675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0.615919478265752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5.6063923418918339E-15</v>
      </c>
      <c r="CN137" s="24">
        <f t="shared" si="120"/>
        <v>0.61591947826575755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284.69975714988914</v>
      </c>
      <c r="S138" s="62">
        <f ca="1">AVERAGE(OFFSET($R$3,0,0,'Données projet'!$E$9+1,1))-AVERAGE(OFFSET($H$3,0,0,'Données projet'!$E$9+1,1))</f>
        <v>319.74550658573207</v>
      </c>
      <c r="T138" s="62">
        <f t="shared" si="142"/>
        <v>231.35643408122294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0.47419923874620101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1.0038190077803479E-15</v>
      </c>
      <c r="AC138" s="24">
        <f t="shared" si="111"/>
        <v>0.47419923874620201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254.64144953102331</v>
      </c>
      <c r="AO138" s="62">
        <f t="shared" si="144"/>
        <v>361.41009011468407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0.20232414847417002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6.6456796086034841E-16</v>
      </c>
      <c r="AX138" s="23">
        <f t="shared" si="114"/>
        <v>0.20232414847417068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352.34406861564418</v>
      </c>
      <c r="BJ138" s="62">
        <f t="shared" si="146"/>
        <v>182.40373266220317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-3.694822225952521E-13</v>
      </c>
      <c r="BZ138" s="14">
        <f>BY138*VLOOKUP('Données projet'!$B$12,Paramètres!$A$1:$I$89,3,0)*VLOOKUP('Données projet'!$B$12,Paramètres!$A$1:$I$89,5,0)</f>
        <v>-3.2277966965921228E-13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325.33012514933523</v>
      </c>
      <c r="CE138" s="62">
        <f t="shared" si="148"/>
        <v>332.38915219929675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0.60384167297074764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3.9643180429440447E-15</v>
      </c>
      <c r="CN138" s="24">
        <f t="shared" si="120"/>
        <v>0.60384167297075164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284.84953039488721</v>
      </c>
      <c r="S139" s="62">
        <f ca="1">AVERAGE(OFFSET($R$3,0,0,'Données projet'!$E$9+1,1))-AVERAGE(OFFSET($H$3,0,0,'Données projet'!$E$9+1,1))</f>
        <v>319.74550658573207</v>
      </c>
      <c r="T139" s="62">
        <f t="shared" si="142"/>
        <v>231.35643408122294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0.46490048090736424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7.0980722748543575E-16</v>
      </c>
      <c r="AC139" s="24">
        <f t="shared" si="111"/>
        <v>0.46490048090736497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254.64144953102331</v>
      </c>
      <c r="AO139" s="62">
        <f t="shared" si="144"/>
        <v>361.41009011468407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0.19835669532813682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4.6992051168366845E-16</v>
      </c>
      <c r="AX139" s="23">
        <f t="shared" si="114"/>
        <v>0.19835669532813729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352.34406861564418</v>
      </c>
      <c r="BJ139" s="62">
        <f t="shared" si="146"/>
        <v>182.40373266220317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-3.694822225952521E-13</v>
      </c>
      <c r="BZ139" s="14">
        <f>BY139*VLOOKUP('Données projet'!$B$12,Paramètres!$A$1:$I$89,3,0)*VLOOKUP('Données projet'!$B$12,Paramètres!$A$1:$I$89,5,0)</f>
        <v>-3.2277966965921228E-13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325.33012514933523</v>
      </c>
      <c r="CE139" s="62">
        <f t="shared" si="148"/>
        <v>332.38915219929675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0.59200070607084454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2.803196170945917E-15</v>
      </c>
      <c r="CN139" s="24">
        <f t="shared" si="120"/>
        <v>0.59200070607084732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284.99670540892737</v>
      </c>
      <c r="S140" s="62">
        <f ca="1">AVERAGE(OFFSET($R$3,0,0,'Données projet'!$E$9+1,1))-AVERAGE(OFFSET($H$3,0,0,'Données projet'!$E$9+1,1))</f>
        <v>319.74550658573207</v>
      </c>
      <c r="T140" s="62">
        <f t="shared" si="142"/>
        <v>231.35643408122294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0.45578406603806482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5.0190950389017397E-16</v>
      </c>
      <c r="AC140" s="24">
        <f t="shared" si="111"/>
        <v>0.45578406603806532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254.64144953102331</v>
      </c>
      <c r="AO140" s="62">
        <f t="shared" si="144"/>
        <v>361.41009011468407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0.19446704151838987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3.322839804301742E-16</v>
      </c>
      <c r="AX140" s="23">
        <f t="shared" si="114"/>
        <v>0.1944670415183902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352.34406861564418</v>
      </c>
      <c r="BJ140" s="62">
        <f t="shared" si="146"/>
        <v>182.40373266220317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-3.694822225952521E-13</v>
      </c>
      <c r="BZ140" s="14">
        <f>BY140*VLOOKUP('Données projet'!$B$12,Paramètres!$A$1:$I$89,3,0)*VLOOKUP('Données projet'!$B$12,Paramètres!$A$1:$I$89,5,0)</f>
        <v>-3.2277966965921228E-13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325.33012514933523</v>
      </c>
      <c r="CE140" s="62">
        <f t="shared" si="148"/>
        <v>332.38915219929675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0.58039193330957184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1.9821590214720224E-15</v>
      </c>
      <c r="CN140" s="24">
        <f t="shared" si="120"/>
        <v>0.58039193330957384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285.14132726550793</v>
      </c>
      <c r="S141" s="62">
        <f ca="1">AVERAGE(OFFSET($R$3,0,0,'Données projet'!$E$9+1,1))-AVERAGE(OFFSET($H$3,0,0,'Données projet'!$E$9+1,1))</f>
        <v>319.74550658573207</v>
      </c>
      <c r="T141" s="62">
        <f t="shared" si="142"/>
        <v>231.35643408122294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0.44684641850388834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3.5490361374271788E-16</v>
      </c>
      <c r="AC141" s="24">
        <f t="shared" si="111"/>
        <v>0.44684641850388868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254.64144953102331</v>
      </c>
      <c r="AO141" s="62">
        <f t="shared" si="144"/>
        <v>361.41009011468407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0.19065366144739748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2.3496025584183423E-16</v>
      </c>
      <c r="AX141" s="23">
        <f t="shared" si="114"/>
        <v>0.1906536614473977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352.34406861564418</v>
      </c>
      <c r="BJ141" s="62">
        <f t="shared" si="146"/>
        <v>182.40373266220317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-3.694822225952521E-13</v>
      </c>
      <c r="BZ141" s="14">
        <f>BY141*VLOOKUP('Données projet'!$B$12,Paramètres!$A$1:$I$89,3,0)*VLOOKUP('Données projet'!$B$12,Paramètres!$A$1:$I$89,5,0)</f>
        <v>-3.2277966965921228E-13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325.33012514933523</v>
      </c>
      <c r="CE141" s="62">
        <f t="shared" si="148"/>
        <v>332.38915219929675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0.56901080150149541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1.4015980854729585E-15</v>
      </c>
      <c r="CN141" s="24">
        <f t="shared" si="120"/>
        <v>0.56901080150149685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285.28344025620288</v>
      </c>
      <c r="S142" s="62">
        <f ca="1">AVERAGE(OFFSET($R$3,0,0,'Données projet'!$E$9+1,1))-AVERAGE(OFFSET($H$3,0,0,'Données projet'!$E$9+1,1))</f>
        <v>319.74550658573207</v>
      </c>
      <c r="T142" s="62">
        <f t="shared" si="142"/>
        <v>231.35643408122294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0.43808403278643038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2.5095475194508699E-16</v>
      </c>
      <c r="AC142" s="24">
        <f t="shared" si="111"/>
        <v>0.43808403278643065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254.64144953102331</v>
      </c>
      <c r="AO142" s="62">
        <f t="shared" si="144"/>
        <v>361.41009011468407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0.1869150594336651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1.661419902150871E-16</v>
      </c>
      <c r="AX142" s="23">
        <f t="shared" si="114"/>
        <v>0.18691505943366526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352.34406861564418</v>
      </c>
      <c r="BJ142" s="62">
        <f t="shared" si="146"/>
        <v>182.40373266220317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-3.694822225952521E-13</v>
      </c>
      <c r="BZ142" s="14">
        <f>BY142*VLOOKUP('Données projet'!$B$12,Paramètres!$A$1:$I$89,3,0)*VLOOKUP('Données projet'!$B$12,Paramètres!$A$1:$I$89,5,0)</f>
        <v>-3.2277966965921228E-13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325.33012514933523</v>
      </c>
      <c r="CE142" s="62">
        <f t="shared" si="148"/>
        <v>332.38915219929675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0.55785284674637048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9.9107951073601118E-16</v>
      </c>
      <c r="CN142" s="24">
        <f t="shared" si="120"/>
        <v>0.55785284674637148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285.42308790422635</v>
      </c>
      <c r="S143" s="62">
        <f ca="1">AVERAGE(OFFSET($R$3,0,0,'Données projet'!$E$9+1,1))-AVERAGE(OFFSET($H$3,0,0,'Données projet'!$E$9+1,1))</f>
        <v>319.74550658573207</v>
      </c>
      <c r="T143" s="62">
        <f t="shared" si="142"/>
        <v>231.35643408122294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0.42949347210836419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1.7745180687135894E-16</v>
      </c>
      <c r="AC143" s="24">
        <f t="shared" si="111"/>
        <v>0.42949347210836436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254.64144953102331</v>
      </c>
      <c r="AO143" s="62">
        <f t="shared" si="144"/>
        <v>361.41009011468407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0.18324976912509994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1.1748012792091711E-16</v>
      </c>
      <c r="AX143" s="23">
        <f t="shared" si="114"/>
        <v>0.18324976912510005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352.34406861564418</v>
      </c>
      <c r="BJ143" s="62">
        <f t="shared" si="146"/>
        <v>182.40373266220317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-3.694822225952521E-13</v>
      </c>
      <c r="BZ143" s="14">
        <f>BY143*VLOOKUP('Données projet'!$B$12,Paramètres!$A$1:$I$89,3,0)*VLOOKUP('Données projet'!$B$12,Paramètres!$A$1:$I$89,5,0)</f>
        <v>-3.2277966965921228E-13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325.33012514933523</v>
      </c>
      <c r="CE143" s="62">
        <f t="shared" si="148"/>
        <v>332.38915219929675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0.54691369267831313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7.0079904273647924E-16</v>
      </c>
      <c r="CN143" s="24">
        <f t="shared" si="120"/>
        <v>0.5469136926783138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285.56031297776201</v>
      </c>
      <c r="S144" s="62">
        <f ca="1">AVERAGE(OFFSET($R$3,0,0,'Données projet'!$E$9+1,1))-AVERAGE(OFFSET($H$3,0,0,'Données projet'!$E$9+1,1))</f>
        <v>319.74550658573207</v>
      </c>
      <c r="T144" s="62">
        <f t="shared" si="142"/>
        <v>231.35643408122294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0.42107136708547027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1.2547737597254349E-16</v>
      </c>
      <c r="AC144" s="24">
        <f t="shared" si="111"/>
        <v>0.42107136708547038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254.64144953102331</v>
      </c>
      <c r="AO144" s="62">
        <f t="shared" si="144"/>
        <v>361.41009011468407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0.17965635292387938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8.3070995107543551E-17</v>
      </c>
      <c r="AX144" s="23">
        <f t="shared" si="114"/>
        <v>0.17965635292387946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352.34406861564418</v>
      </c>
      <c r="BJ144" s="62">
        <f t="shared" si="146"/>
        <v>182.40373266220317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-3.694822225952521E-13</v>
      </c>
      <c r="BZ144" s="14">
        <f>BY144*VLOOKUP('Données projet'!$B$12,Paramètres!$A$1:$I$89,3,0)*VLOOKUP('Données projet'!$B$12,Paramètres!$A$1:$I$89,5,0)</f>
        <v>-3.2277966965921228E-13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325.33012514933523</v>
      </c>
      <c r="CE144" s="62">
        <f t="shared" si="148"/>
        <v>332.38915219929675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0.53618904874930517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4.9553975536800559E-16</v>
      </c>
      <c r="CN144" s="24">
        <f t="shared" si="120"/>
        <v>0.53618904874930562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285.69515750306107</v>
      </c>
      <c r="S145" s="62">
        <f ca="1">AVERAGE(OFFSET($R$3,0,0,'Données projet'!$E$9+1,1))-AVERAGE(OFFSET($H$3,0,0,'Données projet'!$E$9+1,1))</f>
        <v>319.74550658573207</v>
      </c>
      <c r="T145" s="62">
        <f t="shared" si="142"/>
        <v>231.35643408122294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0.41281441440509847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8.8725903435679469E-17</v>
      </c>
      <c r="AC145" s="24">
        <f t="shared" si="111"/>
        <v>0.41281441440509858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254.64144953102331</v>
      </c>
      <c r="AO145" s="62">
        <f t="shared" si="144"/>
        <v>361.41009011468407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0.17613340142259731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5.8740063960458556E-17</v>
      </c>
      <c r="AX145" s="23">
        <f t="shared" si="114"/>
        <v>0.17613340142259737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352.34406861564418</v>
      </c>
      <c r="BJ145" s="62">
        <f t="shared" si="146"/>
        <v>182.40373266220317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-3.694822225952521E-13</v>
      </c>
      <c r="BZ145" s="14">
        <f>BY145*VLOOKUP('Données projet'!$B$12,Paramètres!$A$1:$I$89,3,0)*VLOOKUP('Données projet'!$B$12,Paramètres!$A$1:$I$89,5,0)</f>
        <v>-3.2277966965921228E-13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325.33012514933523</v>
      </c>
      <c r="CE145" s="62">
        <f t="shared" si="148"/>
        <v>332.38915219929675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0.52567470854635823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3.5039952136823962E-16</v>
      </c>
      <c r="CN145" s="24">
        <f t="shared" si="120"/>
        <v>0.52567470854635856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285.82766277731344</v>
      </c>
      <c r="S146" s="62">
        <f ca="1">AVERAGE(OFFSET($R$3,0,0,'Données projet'!$E$9+1,1))-AVERAGE(OFFSET($H$3,0,0,'Données projet'!$E$9+1,1))</f>
        <v>319.74550658573207</v>
      </c>
      <c r="T146" s="62">
        <f t="shared" si="142"/>
        <v>231.35643408122294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0.40471937553054488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6.2738687986271746E-17</v>
      </c>
      <c r="AC146" s="24">
        <f t="shared" si="111"/>
        <v>0.40471937553054493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254.64144953102331</v>
      </c>
      <c r="AO146" s="62">
        <f t="shared" si="144"/>
        <v>361.41009011468407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0.17267953285146714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4.1535497553771776E-17</v>
      </c>
      <c r="AX146" s="23">
        <f t="shared" si="114"/>
        <v>0.17267953285146717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352.34406861564418</v>
      </c>
      <c r="BJ146" s="62">
        <f t="shared" si="146"/>
        <v>182.40373266220317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-3.694822225952521E-13</v>
      </c>
      <c r="BZ146" s="14">
        <f>BY146*VLOOKUP('Données projet'!$B$12,Paramètres!$A$1:$I$89,3,0)*VLOOKUP('Données projet'!$B$12,Paramètres!$A$1:$I$89,5,0)</f>
        <v>-3.2277966965921228E-13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325.33012514933523</v>
      </c>
      <c r="CE146" s="62">
        <f t="shared" si="148"/>
        <v>332.38915219929675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0.51536654814167682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2.477698776840028E-16</v>
      </c>
      <c r="CN146" s="24">
        <f t="shared" si="120"/>
        <v>0.51536654814167704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285.95786938129487</v>
      </c>
      <c r="S147" s="62">
        <f ca="1">AVERAGE(OFFSET($R$3,0,0,'Données projet'!$E$9+1,1))-AVERAGE(OFFSET($H$3,0,0,'Données projet'!$E$9+1,1))</f>
        <v>319.74550658573207</v>
      </c>
      <c r="T147" s="62">
        <f t="shared" si="142"/>
        <v>231.35643408122294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0.39678307543083513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4.4362951717839734E-17</v>
      </c>
      <c r="AC147" s="24">
        <f t="shared" si="111"/>
        <v>0.39678307543083519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254.64144953102331</v>
      </c>
      <c r="AO147" s="62">
        <f t="shared" si="144"/>
        <v>361.41009011468407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0.16929339253636502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2.9370031980229278E-17</v>
      </c>
      <c r="AX147" s="23">
        <f t="shared" si="114"/>
        <v>0.16929339253636505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352.34406861564418</v>
      </c>
      <c r="BJ147" s="62">
        <f t="shared" si="146"/>
        <v>182.40373266220317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-3.694822225952521E-13</v>
      </c>
      <c r="BZ147" s="14">
        <f>BY147*VLOOKUP('Données projet'!$B$12,Paramètres!$A$1:$I$89,3,0)*VLOOKUP('Données projet'!$B$12,Paramètres!$A$1:$I$89,5,0)</f>
        <v>-3.2277966965921228E-13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325.33012514933523</v>
      </c>
      <c r="CE147" s="62">
        <f t="shared" si="148"/>
        <v>332.38915219929675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0.50526052447517411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1.7519976068411981E-16</v>
      </c>
      <c r="CN147" s="24">
        <f t="shared" si="120"/>
        <v>0.50526052447517433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286.08581719179557</v>
      </c>
      <c r="S148" s="62">
        <f ca="1">AVERAGE(OFFSET($R$3,0,0,'Données projet'!$E$9+1,1))-AVERAGE(OFFSET($H$3,0,0,'Données projet'!$E$9+1,1))</f>
        <v>319.74550658573207</v>
      </c>
      <c r="T148" s="62">
        <f t="shared" si="142"/>
        <v>231.35643408122294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0.38900240133541558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3.1369343993135873E-17</v>
      </c>
      <c r="AC148" s="24">
        <f t="shared" si="111"/>
        <v>0.38900240133541564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254.64144953102331</v>
      </c>
      <c r="AO148" s="62">
        <f t="shared" si="144"/>
        <v>361.41009011468407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0.16597365236750039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2.0767748776885888E-17</v>
      </c>
      <c r="AX148" s="23">
        <f t="shared" si="114"/>
        <v>0.16597365236750042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352.34406861564418</v>
      </c>
      <c r="BJ148" s="62">
        <f t="shared" si="146"/>
        <v>182.40373266220317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-3.694822225952521E-13</v>
      </c>
      <c r="BZ148" s="14">
        <f>BY148*VLOOKUP('Données projet'!$B$12,Paramètres!$A$1:$I$89,3,0)*VLOOKUP('Données projet'!$B$12,Paramètres!$A$1:$I$89,5,0)</f>
        <v>-3.2277966965921228E-13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325.33012514933523</v>
      </c>
      <c r="CE148" s="62">
        <f t="shared" si="148"/>
        <v>332.38915219929675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0.49535267376870579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1.238849388420014E-16</v>
      </c>
      <c r="CN148" s="24">
        <f t="shared" si="120"/>
        <v>0.4953526737687059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286.21154539383264</v>
      </c>
      <c r="S149" s="62">
        <f ca="1">AVERAGE(OFFSET($R$3,0,0,'Données projet'!$E$9+1,1))-AVERAGE(OFFSET($H$3,0,0,'Données projet'!$E$9+1,1))</f>
        <v>319.74550658573207</v>
      </c>
      <c r="T149" s="62">
        <f t="shared" si="142"/>
        <v>231.35643408122294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0.38137430151326462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2.2181475858919867E-17</v>
      </c>
      <c r="AC149" s="24">
        <f t="shared" si="111"/>
        <v>0.38137430151326462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254.64144953102331</v>
      </c>
      <c r="AO149" s="62">
        <f t="shared" si="144"/>
        <v>361.41009011468407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0.16271901027850563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1.4685015990114639E-17</v>
      </c>
      <c r="AX149" s="23">
        <f t="shared" si="114"/>
        <v>0.16271901027850566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352.34406861564418</v>
      </c>
      <c r="BJ149" s="62">
        <f t="shared" si="146"/>
        <v>182.40373266220317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-3.694822225952521E-13</v>
      </c>
      <c r="BZ149" s="14">
        <f>BY149*VLOOKUP('Données projet'!$B$12,Paramètres!$A$1:$I$89,3,0)*VLOOKUP('Données projet'!$B$12,Paramètres!$A$1:$I$89,5,0)</f>
        <v>-3.2277966965921228E-13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325.33012514933523</v>
      </c>
      <c r="CE149" s="62">
        <f t="shared" si="148"/>
        <v>332.38915219929675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0.48563910997139909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8.7599880342059905E-17</v>
      </c>
      <c r="CN149" s="24">
        <f t="shared" si="120"/>
        <v>0.4856391099713992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286.3350924926504</v>
      </c>
      <c r="S150" s="62">
        <f ca="1">AVERAGE(OFFSET($R$3,0,0,'Données projet'!$E$9+1,1))-AVERAGE(OFFSET($H$3,0,0,'Données projet'!$E$9+1,1))</f>
        <v>319.74550658573207</v>
      </c>
      <c r="T150" s="62">
        <f t="shared" si="142"/>
        <v>231.35643408122294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0.37389578407594459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1.5684671996567937E-17</v>
      </c>
      <c r="AC150" s="24">
        <f t="shared" si="111"/>
        <v>0.37389578407594459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254.64144953102331</v>
      </c>
      <c r="AO150" s="62">
        <f t="shared" si="144"/>
        <v>361.41009011468407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0.1595281897357404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1.0383874388442944E-17</v>
      </c>
      <c r="AX150" s="23">
        <f t="shared" si="114"/>
        <v>0.1595281897357404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352.34406861564418</v>
      </c>
      <c r="BJ150" s="62">
        <f t="shared" si="146"/>
        <v>182.40373266220317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-3.694822225952521E-13</v>
      </c>
      <c r="BZ150" s="14">
        <f>BY150*VLOOKUP('Données projet'!$B$12,Paramètres!$A$1:$I$89,3,0)*VLOOKUP('Données projet'!$B$12,Paramètres!$A$1:$I$89,5,0)</f>
        <v>-3.2277966965921228E-13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325.33012514933523</v>
      </c>
      <c r="CE150" s="62">
        <f t="shared" si="148"/>
        <v>332.38915219929675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0.47611602323546864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6.1942469421000699E-17</v>
      </c>
      <c r="CN150" s="24">
        <f t="shared" si="120"/>
        <v>0.4761160232354687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286.45649632551368</v>
      </c>
      <c r="S151" s="62">
        <f ca="1">AVERAGE(OFFSET($R$3,0,0,'Données projet'!$E$9+1,1))-AVERAGE(OFFSET($H$3,0,0,'Données projet'!$E$9+1,1))</f>
        <v>319.74550658573207</v>
      </c>
      <c r="T151" s="62">
        <f t="shared" si="142"/>
        <v>231.35643408122294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0.36656391580412517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1.1090737929459934E-17</v>
      </c>
      <c r="AC151" s="24">
        <f t="shared" si="111"/>
        <v>0.36656391580412517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254.64144953102331</v>
      </c>
      <c r="AO151" s="62">
        <f t="shared" si="144"/>
        <v>361.41009011468407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0.15639993923761045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7.3425079950573196E-18</v>
      </c>
      <c r="AX151" s="23">
        <f t="shared" si="114"/>
        <v>0.15639993923761045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352.34406861564418</v>
      </c>
      <c r="BJ151" s="62">
        <f t="shared" si="146"/>
        <v>182.40373266220317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-3.694822225952521E-13</v>
      </c>
      <c r="BZ151" s="14">
        <f>BY151*VLOOKUP('Données projet'!$B$12,Paramètres!$A$1:$I$89,3,0)*VLOOKUP('Données projet'!$B$12,Paramètres!$A$1:$I$89,5,0)</f>
        <v>-3.2277966965921228E-13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325.33012514933523</v>
      </c>
      <c r="CE151" s="62">
        <f t="shared" si="148"/>
        <v>332.38915219929675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0.46677967842192047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4.3799940171029953E-17</v>
      </c>
      <c r="CN151" s="24">
        <f t="shared" si="120"/>
        <v>0.46677967842192053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286.57579407329507</v>
      </c>
      <c r="S152" s="62">
        <f ca="1">AVERAGE(OFFSET($R$3,0,0,'Données projet'!$E$9+1,1))-AVERAGE(OFFSET($H$3,0,0,'Données projet'!$E$9+1,1))</f>
        <v>319.74550658573207</v>
      </c>
      <c r="T152" s="62">
        <f t="shared" si="142"/>
        <v>231.35643408122294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0.35937582099711801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7.8423359982839683E-18</v>
      </c>
      <c r="AC152" s="24">
        <f t="shared" si="111"/>
        <v>0.35937582099711801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254.64144953102331</v>
      </c>
      <c r="AO152" s="62">
        <f t="shared" si="144"/>
        <v>361.41009011468407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0.15333303182370442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5.1919371942214719E-18</v>
      </c>
      <c r="AX152" s="23">
        <f t="shared" si="114"/>
        <v>0.15333303182370442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352.34406861564418</v>
      </c>
      <c r="BJ152" s="62">
        <f t="shared" si="146"/>
        <v>182.40373266220317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-3.694822225952521E-13</v>
      </c>
      <c r="BZ152" s="14">
        <f>BY152*VLOOKUP('Données projet'!$B$12,Paramètres!$A$1:$I$89,3,0)*VLOOKUP('Données projet'!$B$12,Paramètres!$A$1:$I$89,5,0)</f>
        <v>-3.2277966965921228E-13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325.33012514933523</v>
      </c>
      <c r="CE152" s="62">
        <f t="shared" si="148"/>
        <v>332.38915219929675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0.45762641363555789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3.0971234710500349E-17</v>
      </c>
      <c r="CN152" s="24">
        <f t="shared" si="120"/>
        <v>0.45762641363555795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286.69302227186233</v>
      </c>
      <c r="S153" s="62">
        <f ca="1">AVERAGE(OFFSET($R$3,0,0,'Données projet'!$E$9+1,1))-AVERAGE(OFFSET($H$3,0,0,'Données projet'!$E$9+1,1))</f>
        <v>319.74550658573207</v>
      </c>
      <c r="T153" s="62">
        <f t="shared" si="142"/>
        <v>231.35643408122294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0.35232868034497139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5.5453689647299668E-18</v>
      </c>
      <c r="AC153" s="24">
        <f t="shared" si="111"/>
        <v>0.35232868034497139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254.64144953102331</v>
      </c>
      <c r="AO153" s="62">
        <f t="shared" si="144"/>
        <v>361.41009011468407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0.15032626459355627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3.6712539975286598E-18</v>
      </c>
      <c r="AX153" s="23">
        <f t="shared" si="114"/>
        <v>0.15032626459355627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352.34406861564418</v>
      </c>
      <c r="BJ153" s="62">
        <f t="shared" si="146"/>
        <v>182.40373266220317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-3.694822225952521E-13</v>
      </c>
      <c r="BZ153" s="14">
        <f>BY153*VLOOKUP('Données projet'!$B$12,Paramètres!$A$1:$I$89,3,0)*VLOOKUP('Données projet'!$B$12,Paramètres!$A$1:$I$89,5,0)</f>
        <v>-3.2277966965921228E-13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325.33012514933523</v>
      </c>
      <c r="CE153" s="62">
        <f t="shared" si="148"/>
        <v>332.38915219929675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0.44865263878871564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2.1899970085514976E-17</v>
      </c>
      <c r="CN153" s="24">
        <f t="shared" si="120"/>
        <v>0.44865263878871564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286.80821682326734</v>
      </c>
      <c r="S154" s="62">
        <f ca="1">AVERAGE(OFFSET($R$3,0,0,'Données projet'!$E$9+1,1))-AVERAGE(OFFSET($H$3,0,0,'Données projet'!$E$9+1,1))</f>
        <v>319.74550658573207</v>
      </c>
      <c r="T154" s="62">
        <f t="shared" si="142"/>
        <v>231.35643408122294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0.34541972982268199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3.9211679991419842E-18</v>
      </c>
      <c r="AC154" s="24">
        <f t="shared" ref="AC154:AC203" si="163">SUM(Z154:AB154)</f>
        <v>0.34541972982268199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254.64144953102331</v>
      </c>
      <c r="AO154" s="62">
        <f t="shared" si="144"/>
        <v>361.41009011468407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0.14737845823484441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2.595968597110736E-18</v>
      </c>
      <c r="AX154" s="23">
        <f t="shared" ref="AX154:AX203" si="166">SUM(AU154:AW154)</f>
        <v>0.14737845823484441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352.34406861564418</v>
      </c>
      <c r="BJ154" s="62">
        <f t="shared" si="146"/>
        <v>182.40373266220317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-3.694822225952521E-13</v>
      </c>
      <c r="BZ154" s="14">
        <f>BY154*VLOOKUP('Données projet'!$B$12,Paramètres!$A$1:$I$89,3,0)*VLOOKUP('Données projet'!$B$12,Paramètres!$A$1:$I$89,5,0)</f>
        <v>-3.2277966965921228E-13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325.33012514933523</v>
      </c>
      <c r="CE154" s="62">
        <f t="shared" si="148"/>
        <v>332.38915219929675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0.4398548341931578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1.5485617355250175E-17</v>
      </c>
      <c r="CN154" s="24">
        <f t="shared" ref="CN154:CN203" si="172">SUM(CK154:CM154)</f>
        <v>0.4398548341931578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286.92141300674189</v>
      </c>
      <c r="S155" s="62">
        <f ca="1">AVERAGE(OFFSET($R$3,0,0,'Données projet'!$E$9+1,1))-AVERAGE(OFFSET($H$3,0,0,'Données projet'!$E$9+1,1))</f>
        <v>319.74550658573207</v>
      </c>
      <c r="T155" s="62">
        <f t="shared" si="142"/>
        <v>231.35643408122294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0.33864625960609096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2.7726844823649834E-18</v>
      </c>
      <c r="AC155" s="24">
        <f t="shared" si="163"/>
        <v>0.33864625960609096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254.64144953102331</v>
      </c>
      <c r="AO155" s="62">
        <f t="shared" si="144"/>
        <v>361.41009011468407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0.14448845656084253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1.8356269987643299E-18</v>
      </c>
      <c r="AX155" s="23">
        <f t="shared" si="166"/>
        <v>0.14448845656084253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352.34406861564418</v>
      </c>
      <c r="BJ155" s="62">
        <f t="shared" si="146"/>
        <v>182.40373266220317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-3.694822225952521E-13</v>
      </c>
      <c r="BZ155" s="14">
        <f>BY155*VLOOKUP('Données projet'!$B$12,Paramètres!$A$1:$I$89,3,0)*VLOOKUP('Données projet'!$B$12,Paramètres!$A$1:$I$89,5,0)</f>
        <v>-3.2277966965921228E-13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325.33012514933523</v>
      </c>
      <c r="CE155" s="62">
        <f t="shared" si="148"/>
        <v>332.38915219929675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0.43122954917958789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1.0949985042757488E-17</v>
      </c>
      <c r="CN155" s="24">
        <f t="shared" si="172"/>
        <v>0.43122954917958789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287.03264548950199</v>
      </c>
      <c r="S156" s="62">
        <f ca="1">AVERAGE(OFFSET($R$3,0,0,'Données projet'!$E$9+1,1))-AVERAGE(OFFSET($H$3,0,0,'Données projet'!$E$9+1,1))</f>
        <v>319.74550658573207</v>
      </c>
      <c r="T156" s="62">
        <f t="shared" si="142"/>
        <v>231.35643408122294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0.33200561300903836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1.9605839995709921E-18</v>
      </c>
      <c r="AC156" s="24">
        <f t="shared" si="163"/>
        <v>0.33200561300903836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254.64144953102331</v>
      </c>
      <c r="AO156" s="62">
        <f t="shared" si="144"/>
        <v>361.41009011468407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0.14165512605694086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1.297984298555368E-18</v>
      </c>
      <c r="AX156" s="23">
        <f t="shared" si="166"/>
        <v>0.14165512605694086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352.34406861564418</v>
      </c>
      <c r="BJ156" s="62">
        <f t="shared" si="146"/>
        <v>182.40373266220317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-3.694822225952521E-13</v>
      </c>
      <c r="BZ156" s="14">
        <f>BY156*VLOOKUP('Données projet'!$B$12,Paramètres!$A$1:$I$89,3,0)*VLOOKUP('Données projet'!$B$12,Paramètres!$A$1:$I$89,5,0)</f>
        <v>-3.2277966965921228E-13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325.33012514933523</v>
      </c>
      <c r="CE156" s="62">
        <f t="shared" si="148"/>
        <v>332.38915219929675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0.4227734007442297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7.7428086776250874E-18</v>
      </c>
      <c r="CN156" s="24">
        <f t="shared" si="172"/>
        <v>0.4227734007442297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287.14194833736474</v>
      </c>
      <c r="S157" s="62">
        <f ca="1">AVERAGE(OFFSET($R$3,0,0,'Données projet'!$E$9+1,1))-AVERAGE(OFFSET($H$3,0,0,'Données projet'!$E$9+1,1))</f>
        <v>319.74550658573207</v>
      </c>
      <c r="T157" s="62">
        <f t="shared" si="142"/>
        <v>231.35643408122294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0.32549518544135952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1.3863422411824917E-18</v>
      </c>
      <c r="AC157" s="24">
        <f t="shared" si="163"/>
        <v>0.32549518544135952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254.64144953102331</v>
      </c>
      <c r="AO157" s="62">
        <f t="shared" si="144"/>
        <v>361.41009011468407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0.13887735543605975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9.1781349938216494E-19</v>
      </c>
      <c r="AX157" s="23">
        <f t="shared" si="166"/>
        <v>0.13887735543605975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352.34406861564418</v>
      </c>
      <c r="BJ157" s="62">
        <f t="shared" si="146"/>
        <v>182.40373266220317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-3.694822225952521E-13</v>
      </c>
      <c r="BZ157" s="14">
        <f>BY157*VLOOKUP('Données projet'!$B$12,Paramètres!$A$1:$I$89,3,0)*VLOOKUP('Données projet'!$B$12,Paramètres!$A$1:$I$89,5,0)</f>
        <v>-3.2277966965921228E-13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325.33012514933523</v>
      </c>
      <c r="CE157" s="62">
        <f t="shared" si="148"/>
        <v>332.38915219929675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0.41448307222194763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5.4749925213787441E-18</v>
      </c>
      <c r="CN157" s="24">
        <f t="shared" si="172"/>
        <v>0.41448307222194763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287.24935502518167</v>
      </c>
      <c r="S158" s="62">
        <f ca="1">AVERAGE(OFFSET($R$3,0,0,'Données projet'!$E$9+1,1))-AVERAGE(OFFSET($H$3,0,0,'Données projet'!$E$9+1,1))</f>
        <v>319.74550658573207</v>
      </c>
      <c r="T158" s="62">
        <f t="shared" si="142"/>
        <v>231.35643408122294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0.31911242338731416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9.8029199978549604E-19</v>
      </c>
      <c r="AC158" s="24">
        <f t="shared" si="163"/>
        <v>0.31911242338731416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254.64144953102331</v>
      </c>
      <c r="AO158" s="62">
        <f t="shared" si="144"/>
        <v>361.41009011468407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0.13615405520278134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6.4899214927768399E-19</v>
      </c>
      <c r="AX158" s="23">
        <f t="shared" si="166"/>
        <v>0.13615405520278134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352.34406861564418</v>
      </c>
      <c r="BJ158" s="62">
        <f t="shared" si="146"/>
        <v>182.40373266220317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-3.694822225952521E-13</v>
      </c>
      <c r="BZ158" s="14">
        <f>BY158*VLOOKUP('Données projet'!$B$12,Paramètres!$A$1:$I$89,3,0)*VLOOKUP('Données projet'!$B$12,Paramètres!$A$1:$I$89,5,0)</f>
        <v>-3.2277966965921228E-13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325.33012514933523</v>
      </c>
      <c r="CE158" s="62">
        <f t="shared" si="148"/>
        <v>332.38915219929675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0.40635531198538644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3.8714043388125437E-18</v>
      </c>
      <c r="CN158" s="24">
        <f t="shared" si="172"/>
        <v>0.40635531198538644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287.35489844709031</v>
      </c>
      <c r="S159" s="62">
        <f ca="1">AVERAGE(OFFSET($R$3,0,0,'Données projet'!$E$9+1,1))-AVERAGE(OFFSET($H$3,0,0,'Données projet'!$E$9+1,1))</f>
        <v>319.74550658573207</v>
      </c>
      <c r="T159" s="62">
        <f t="shared" si="142"/>
        <v>231.35643408122294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0.31285482340404813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6.9317112059124585E-19</v>
      </c>
      <c r="AC159" s="24">
        <f t="shared" si="163"/>
        <v>0.31285482340404813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254.64144953102331</v>
      </c>
      <c r="AO159" s="62">
        <f t="shared" si="144"/>
        <v>361.41009011468407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0.13348415722602838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4.5890674969108247E-19</v>
      </c>
      <c r="AX159" s="23">
        <f t="shared" si="166"/>
        <v>0.13348415722602838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352.34406861564418</v>
      </c>
      <c r="BJ159" s="62">
        <f t="shared" si="146"/>
        <v>182.40373266220317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-3.694822225952521E-13</v>
      </c>
      <c r="BZ159" s="14">
        <f>BY159*VLOOKUP('Données projet'!$B$12,Paramètres!$A$1:$I$89,3,0)*VLOOKUP('Données projet'!$B$12,Paramètres!$A$1:$I$89,5,0)</f>
        <v>-3.2277966965921228E-13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325.33012514933523</v>
      </c>
      <c r="CE159" s="62">
        <f t="shared" si="148"/>
        <v>332.38915219929675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0.39838693216961996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2.737496260689372E-18</v>
      </c>
      <c r="CN159" s="24">
        <f t="shared" si="172"/>
        <v>0.39838693216961996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287.45861092658856</v>
      </c>
      <c r="S160" s="62">
        <f ca="1">AVERAGE(OFFSET($R$3,0,0,'Données projet'!$E$9+1,1))-AVERAGE(OFFSET($H$3,0,0,'Données projet'!$E$9+1,1))</f>
        <v>319.74550658573207</v>
      </c>
      <c r="T160" s="62">
        <f t="shared" si="142"/>
        <v>231.35643408122294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0.30671993113969487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4.9014599989274802E-19</v>
      </c>
      <c r="AC160" s="24">
        <f t="shared" si="163"/>
        <v>0.30671993113969487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254.64144953102331</v>
      </c>
      <c r="AO160" s="62">
        <f t="shared" si="144"/>
        <v>361.41009011468407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0.13086661432012259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3.24496074638842E-19</v>
      </c>
      <c r="AX160" s="23">
        <f t="shared" si="166"/>
        <v>0.13086661432012259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352.34406861564418</v>
      </c>
      <c r="BJ160" s="62">
        <f t="shared" si="146"/>
        <v>182.40373266220317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-3.694822225952521E-13</v>
      </c>
      <c r="BZ160" s="14">
        <f>BY160*VLOOKUP('Données projet'!$B$12,Paramètres!$A$1:$I$89,3,0)*VLOOKUP('Données projet'!$B$12,Paramètres!$A$1:$I$89,5,0)</f>
        <v>-3.2277966965921228E-13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325.33012514933523</v>
      </c>
      <c r="CE160" s="62">
        <f t="shared" si="148"/>
        <v>332.38915219929675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0.39057480742180883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1.9357021694062718E-18</v>
      </c>
      <c r="CN160" s="24">
        <f t="shared" si="172"/>
        <v>0.39057480742180883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287.56052422643398</v>
      </c>
      <c r="S161" s="62">
        <f ca="1">AVERAGE(OFFSET($R$3,0,0,'Données projet'!$E$9+1,1))-AVERAGE(OFFSET($H$3,0,0,'Données projet'!$E$9+1,1))</f>
        <v>319.74550658573207</v>
      </c>
      <c r="T161" s="62">
        <f t="shared" si="142"/>
        <v>231.35643408122294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0.30070534037073077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3.4658556029562293E-19</v>
      </c>
      <c r="AC161" s="24">
        <f t="shared" si="163"/>
        <v>0.30070534037073077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254.64144953102331</v>
      </c>
      <c r="AO161" s="62">
        <f t="shared" si="144"/>
        <v>361.41009011468407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0.12830039983405808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2.2945337484554124E-19</v>
      </c>
      <c r="AX161" s="23">
        <f t="shared" si="166"/>
        <v>0.12830039983405808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352.34406861564418</v>
      </c>
      <c r="BJ161" s="62">
        <f t="shared" si="146"/>
        <v>182.40373266220317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-3.694822225952521E-13</v>
      </c>
      <c r="BZ161" s="14">
        <f>BY161*VLOOKUP('Données projet'!$B$12,Paramètres!$A$1:$I$89,3,0)*VLOOKUP('Données projet'!$B$12,Paramètres!$A$1:$I$89,5,0)</f>
        <v>-3.2277966965921228E-13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325.33012514933523</v>
      </c>
      <c r="CE161" s="62">
        <f t="shared" si="148"/>
        <v>332.38915219929675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0.38291587367537672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1.368748130344686E-18</v>
      </c>
      <c r="CN161" s="24">
        <f t="shared" si="172"/>
        <v>0.38291587367537672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287.66066955837096</v>
      </c>
      <c r="S162" s="62">
        <f ca="1">AVERAGE(OFFSET($R$3,0,0,'Données projet'!$E$9+1,1))-AVERAGE(OFFSET($H$3,0,0,'Données projet'!$E$9+1,1))</f>
        <v>319.74550658573207</v>
      </c>
      <c r="T162" s="62">
        <f t="shared" si="142"/>
        <v>231.35643408122294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0.29480869205820792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2.4507299994637401E-19</v>
      </c>
      <c r="AC162" s="24">
        <f t="shared" si="163"/>
        <v>0.29480869205820792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254.64144953102331</v>
      </c>
      <c r="AO162" s="62">
        <f t="shared" si="144"/>
        <v>361.41009011468407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0.125784507248829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1.62248037319421E-19</v>
      </c>
      <c r="AX162" s="23">
        <f t="shared" si="166"/>
        <v>0.125784507248829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352.34406861564418</v>
      </c>
      <c r="BJ162" s="62">
        <f t="shared" si="146"/>
        <v>182.40373266220317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-3.694822225952521E-13</v>
      </c>
      <c r="BZ162" s="14">
        <f>BY162*VLOOKUP('Données projet'!$B$12,Paramètres!$A$1:$I$89,3,0)*VLOOKUP('Données projet'!$B$12,Paramètres!$A$1:$I$89,5,0)</f>
        <v>-3.2277966965921228E-13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325.33012514933523</v>
      </c>
      <c r="CE162" s="62">
        <f t="shared" si="148"/>
        <v>332.38915219929675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0.37540712694822381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9.6785108470313592E-19</v>
      </c>
      <c r="CN162" s="24">
        <f t="shared" si="172"/>
        <v>0.37540712694822381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287.75907759269035</v>
      </c>
      <c r="S163" s="62">
        <f ca="1">AVERAGE(OFFSET($R$3,0,0,'Données projet'!$E$9+1,1))-AVERAGE(OFFSET($H$3,0,0,'Données projet'!$E$9+1,1))</f>
        <v>319.74550658573207</v>
      </c>
      <c r="T163" s="62">
        <f t="shared" si="142"/>
        <v>231.35643408122294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0.2890276734224933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1.7329278014781146E-19</v>
      </c>
      <c r="AC163" s="24">
        <f t="shared" si="163"/>
        <v>0.2890276734224933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254.64144953102331</v>
      </c>
      <c r="AO163" s="62">
        <f t="shared" si="144"/>
        <v>361.41009011468407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0.12331794978265333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1.1472668742277062E-19</v>
      </c>
      <c r="AX163" s="23">
        <f t="shared" si="166"/>
        <v>0.12331794978265333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352.34406861564418</v>
      </c>
      <c r="BJ163" s="62">
        <f t="shared" si="146"/>
        <v>182.40373266220317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-3.694822225952521E-13</v>
      </c>
      <c r="BZ163" s="14">
        <f>BY163*VLOOKUP('Données projet'!$B$12,Paramètres!$A$1:$I$89,3,0)*VLOOKUP('Données projet'!$B$12,Paramètres!$A$1:$I$89,5,0)</f>
        <v>-3.2277966965921228E-13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325.33012514933523</v>
      </c>
      <c r="CE163" s="62">
        <f t="shared" si="148"/>
        <v>332.38915219929675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0.36804562216450709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6.8437406517234301E-19</v>
      </c>
      <c r="CN163" s="24">
        <f t="shared" si="172"/>
        <v>0.36804562216450709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287.85577846762169</v>
      </c>
      <c r="S164" s="62">
        <f ca="1">AVERAGE(OFFSET($R$3,0,0,'Données projet'!$E$9+1,1))-AVERAGE(OFFSET($H$3,0,0,'Données projet'!$E$9+1,1))</f>
        <v>319.74550658573207</v>
      </c>
      <c r="T164" s="62">
        <f t="shared" si="142"/>
        <v>231.35643408122294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0.28336001703615188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1.22536499973187E-19</v>
      </c>
      <c r="AC164" s="24">
        <f t="shared" si="163"/>
        <v>0.28336001703615188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254.64144953102331</v>
      </c>
      <c r="AO164" s="62">
        <f t="shared" si="144"/>
        <v>361.41009011468407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0.12089976000393785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8.1124018659710499E-20</v>
      </c>
      <c r="AX164" s="23">
        <f t="shared" si="166"/>
        <v>0.12089976000393785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352.34406861564418</v>
      </c>
      <c r="BJ164" s="62">
        <f t="shared" si="146"/>
        <v>182.40373266220317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-3.694822225952521E-13</v>
      </c>
      <c r="BZ164" s="14">
        <f>BY164*VLOOKUP('Données projet'!$B$12,Paramètres!$A$1:$I$89,3,0)*VLOOKUP('Données projet'!$B$12,Paramètres!$A$1:$I$89,5,0)</f>
        <v>-3.2277966965921228E-13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325.33012514933523</v>
      </c>
      <c r="CE164" s="62">
        <f t="shared" si="148"/>
        <v>332.38915219929675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0.3608284719995245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4.8392554235156796E-19</v>
      </c>
      <c r="CN164" s="24">
        <f t="shared" si="172"/>
        <v>0.3608284719995245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287.9508017985637</v>
      </c>
      <c r="S165" s="62">
        <f ca="1">AVERAGE(OFFSET($R$3,0,0,'Données projet'!$E$9+1,1))-AVERAGE(OFFSET($H$3,0,0,'Données projet'!$E$9+1,1))</f>
        <v>319.74550658573207</v>
      </c>
      <c r="T165" s="62">
        <f t="shared" si="142"/>
        <v>231.35643408122294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0.27780349993461756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8.6646390073905731E-20</v>
      </c>
      <c r="AC165" s="24">
        <f t="shared" si="163"/>
        <v>0.27780349993461756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254.64144953102331</v>
      </c>
      <c r="AO165" s="62">
        <f t="shared" si="144"/>
        <v>361.41009011468407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0.11852898945183285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5.7363343711385309E-20</v>
      </c>
      <c r="AX165" s="23">
        <f t="shared" si="166"/>
        <v>0.11852898945183285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352.34406861564418</v>
      </c>
      <c r="BJ165" s="62">
        <f t="shared" si="146"/>
        <v>182.40373266220317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-3.694822225952521E-13</v>
      </c>
      <c r="BZ165" s="14">
        <f>BY165*VLOOKUP('Données projet'!$B$12,Paramètres!$A$1:$I$89,3,0)*VLOOKUP('Données projet'!$B$12,Paramètres!$A$1:$I$89,5,0)</f>
        <v>-3.2277966965921228E-13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325.33012514933523</v>
      </c>
      <c r="CE165" s="62">
        <f t="shared" si="148"/>
        <v>332.38915219929675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0.3537528457472503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3.4218703258617151E-19</v>
      </c>
      <c r="CN165" s="24">
        <f t="shared" si="172"/>
        <v>0.3537528457472503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288.04417668715422</v>
      </c>
      <c r="S166" s="62">
        <f ca="1">AVERAGE(OFFSET($R$3,0,0,'Données projet'!$E$9+1,1))-AVERAGE(OFFSET($H$3,0,0,'Données projet'!$E$9+1,1))</f>
        <v>319.74550658573207</v>
      </c>
      <c r="T166" s="62">
        <f t="shared" si="142"/>
        <v>231.35643408122294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0.27235594274430353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6.1268249986593502E-20</v>
      </c>
      <c r="AC166" s="24">
        <f t="shared" si="163"/>
        <v>0.27235594274430353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254.64144953102331</v>
      </c>
      <c r="AO166" s="62">
        <f t="shared" si="144"/>
        <v>361.41009011468407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0.11620470826422738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4.056200932985525E-20</v>
      </c>
      <c r="AX166" s="23">
        <f t="shared" si="166"/>
        <v>0.11620470826422738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352.34406861564418</v>
      </c>
      <c r="BJ166" s="62">
        <f t="shared" si="146"/>
        <v>182.40373266220317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-3.694822225952521E-13</v>
      </c>
      <c r="BZ166" s="14">
        <f>BY166*VLOOKUP('Données projet'!$B$12,Paramètres!$A$1:$I$89,3,0)*VLOOKUP('Données projet'!$B$12,Paramètres!$A$1:$I$89,5,0)</f>
        <v>-3.2277966965921228E-13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325.33012514933523</v>
      </c>
      <c r="CE166" s="62">
        <f t="shared" si="148"/>
        <v>332.38915219929675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0.34681596821007732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2.4196277117578398E-19</v>
      </c>
      <c r="CN166" s="24">
        <f t="shared" si="172"/>
        <v>0.34681596821007732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288.13593173018268</v>
      </c>
      <c r="S167" s="62">
        <f ca="1">AVERAGE(OFFSET($R$3,0,0,'Données projet'!$E$9+1,1))-AVERAGE(OFFSET($H$3,0,0,'Données projet'!$E$9+1,1))</f>
        <v>319.74550658573207</v>
      </c>
      <c r="T167" s="62">
        <f t="shared" si="142"/>
        <v>231.35643408122294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0.26701520882780977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4.3323195036952866E-20</v>
      </c>
      <c r="AC167" s="24">
        <f t="shared" si="163"/>
        <v>0.26701520882780977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254.64144953102331</v>
      </c>
      <c r="AO167" s="62">
        <f t="shared" si="144"/>
        <v>361.41009011468407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0.11392600481303931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2.8681671855692655E-20</v>
      </c>
      <c r="AX167" s="23">
        <f t="shared" si="166"/>
        <v>0.11392600481303931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352.34406861564418</v>
      </c>
      <c r="BJ167" s="62">
        <f t="shared" si="146"/>
        <v>182.40373266220317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-3.694822225952521E-13</v>
      </c>
      <c r="BZ167" s="14">
        <f>BY167*VLOOKUP('Données projet'!$B$12,Paramètres!$A$1:$I$89,3,0)*VLOOKUP('Données projet'!$B$12,Paramètres!$A$1:$I$89,5,0)</f>
        <v>-3.2277966965921228E-13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325.33012514933523</v>
      </c>
      <c r="CE167" s="62">
        <f t="shared" si="148"/>
        <v>332.38915219929675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0.34001511861033079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1.7109351629308575E-19</v>
      </c>
      <c r="CN167" s="24">
        <f t="shared" si="172"/>
        <v>0.34001511861033079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288.22609502834814</v>
      </c>
      <c r="S168" s="62">
        <f ca="1">AVERAGE(OFFSET($R$3,0,0,'Données projet'!$E$9+1,1))-AVERAGE(OFFSET($H$3,0,0,'Données projet'!$E$9+1,1))</f>
        <v>319.74550658573207</v>
      </c>
      <c r="T168" s="62">
        <f t="shared" si="142"/>
        <v>231.35643408122294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0.26177920344589239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3.0634124993296751E-20</v>
      </c>
      <c r="AC168" s="24">
        <f t="shared" si="163"/>
        <v>0.26177920344589239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254.64144953102331</v>
      </c>
      <c r="AO168" s="62">
        <f t="shared" si="144"/>
        <v>361.41009011468407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0.11169198534665718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2.0281004664927625E-20</v>
      </c>
      <c r="AX168" s="23">
        <f t="shared" si="166"/>
        <v>0.11169198534665718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352.34406861564418</v>
      </c>
      <c r="BJ168" s="62">
        <f t="shared" si="146"/>
        <v>182.40373266220317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-3.694822225952521E-13</v>
      </c>
      <c r="BZ168" s="14">
        <f>BY168*VLOOKUP('Données projet'!$B$12,Paramètres!$A$1:$I$89,3,0)*VLOOKUP('Données projet'!$B$12,Paramètres!$A$1:$I$89,5,0)</f>
        <v>-3.2277966965921228E-13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325.33012514933523</v>
      </c>
      <c r="CE168" s="62">
        <f t="shared" si="148"/>
        <v>332.38915219929675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0.33334762952312663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1.2098138558789199E-19</v>
      </c>
      <c r="CN168" s="24">
        <f t="shared" si="172"/>
        <v>0.33334762952312663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288.31469419486541</v>
      </c>
      <c r="S169" s="62">
        <f ca="1">AVERAGE(OFFSET($R$3,0,0,'Données projet'!$E$9+1,1))-AVERAGE(OFFSET($H$3,0,0,'Données projet'!$E$9+1,1))</f>
        <v>319.74550658573207</v>
      </c>
      <c r="T169" s="62">
        <f t="shared" si="142"/>
        <v>231.35643408122294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0.25664587293586649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2.1661597518476433E-20</v>
      </c>
      <c r="AC169" s="24">
        <f t="shared" si="163"/>
        <v>0.25664587293586649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254.64144953102331</v>
      </c>
      <c r="AO169" s="62">
        <f t="shared" si="144"/>
        <v>361.41009011468407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0.10950177363939348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1.4340835927846327E-20</v>
      </c>
      <c r="AX169" s="23">
        <f t="shared" si="166"/>
        <v>0.10950177363939348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352.34406861564418</v>
      </c>
      <c r="BJ169" s="62">
        <f t="shared" si="146"/>
        <v>182.40373266220317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-3.694822225952521E-13</v>
      </c>
      <c r="BZ169" s="14">
        <f>BY169*VLOOKUP('Données projet'!$B$12,Paramètres!$A$1:$I$89,3,0)*VLOOKUP('Données projet'!$B$12,Paramètres!$A$1:$I$89,5,0)</f>
        <v>-3.2277966965921228E-13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325.33012514933523</v>
      </c>
      <c r="CE169" s="62">
        <f t="shared" si="148"/>
        <v>332.38915219929675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0.32681088583015577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8.5546758146542876E-20</v>
      </c>
      <c r="CN169" s="24">
        <f t="shared" si="172"/>
        <v>0.32681088583015577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288.40175636392161</v>
      </c>
      <c r="S170" s="62">
        <f ca="1">AVERAGE(OFFSET($R$3,0,0,'Données projet'!$E$9+1,1))-AVERAGE(OFFSET($H$3,0,0,'Données projet'!$E$9+1,1))</f>
        <v>319.74550658573207</v>
      </c>
      <c r="T170" s="62">
        <f t="shared" si="142"/>
        <v>231.35643408122294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0.25161320390611974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1.5317062496648376E-20</v>
      </c>
      <c r="AC170" s="24">
        <f t="shared" si="163"/>
        <v>0.25161320390611974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254.64144953102331</v>
      </c>
      <c r="AO170" s="62">
        <f t="shared" si="144"/>
        <v>361.41009011468407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0.10735451064781198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1.0140502332463812E-20</v>
      </c>
      <c r="AX170" s="23">
        <f t="shared" si="166"/>
        <v>0.10735451064781198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352.34406861564418</v>
      </c>
      <c r="BJ170" s="62">
        <f t="shared" si="146"/>
        <v>182.40373266220317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-3.694822225952521E-13</v>
      </c>
      <c r="BZ170" s="14">
        <f>BY170*VLOOKUP('Données projet'!$B$12,Paramètres!$A$1:$I$89,3,0)*VLOOKUP('Données projet'!$B$12,Paramètres!$A$1:$I$89,5,0)</f>
        <v>-3.2277966965921228E-13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325.33012514933523</v>
      </c>
      <c r="CE170" s="62">
        <f t="shared" si="148"/>
        <v>332.38915219929675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0.32040232369398408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6.0490692793945995E-20</v>
      </c>
      <c r="CN170" s="24">
        <f t="shared" si="172"/>
        <v>0.32040232369398408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288.48730819898651</v>
      </c>
      <c r="S171" s="62">
        <f ca="1">AVERAGE(OFFSET($R$3,0,0,'Données projet'!$E$9+1,1))-AVERAGE(OFFSET($H$3,0,0,'Données projet'!$E$9+1,1))</f>
        <v>319.74550658573207</v>
      </c>
      <c r="T171" s="62">
        <f t="shared" si="142"/>
        <v>231.35643408122294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0.24667922244642132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1.0830798759238216E-20</v>
      </c>
      <c r="AC171" s="24">
        <f t="shared" si="163"/>
        <v>0.24667922244642132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254.64144953102331</v>
      </c>
      <c r="AO171" s="62">
        <f t="shared" si="144"/>
        <v>361.41009011468407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0.1052493541737943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7.1704179639231636E-21</v>
      </c>
      <c r="AX171" s="23">
        <f t="shared" si="166"/>
        <v>0.1052493541737943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352.34406861564418</v>
      </c>
      <c r="BJ171" s="62">
        <f t="shared" si="146"/>
        <v>182.40373266220317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-3.694822225952521E-13</v>
      </c>
      <c r="BZ171" s="14">
        <f>BY171*VLOOKUP('Données projet'!$B$12,Paramètres!$A$1:$I$89,3,0)*VLOOKUP('Données projet'!$B$12,Paramètres!$A$1:$I$89,5,0)</f>
        <v>-3.2277966965921228E-13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325.33012514933523</v>
      </c>
      <c r="CE171" s="62">
        <f t="shared" si="148"/>
        <v>332.38915219929675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0.3141194295524658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4.2773379073271438E-20</v>
      </c>
      <c r="CN171" s="24">
        <f t="shared" si="172"/>
        <v>0.3141194295524658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288.57137590097841</v>
      </c>
      <c r="S172" s="62">
        <f ca="1">AVERAGE(OFFSET($R$3,0,0,'Données projet'!$E$9+1,1))-AVERAGE(OFFSET($H$3,0,0,'Données projet'!$E$9+1,1))</f>
        <v>319.74550658573207</v>
      </c>
      <c r="T172" s="62">
        <f t="shared" si="142"/>
        <v>231.35643408122294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0.24184199335371606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7.6585312483241878E-21</v>
      </c>
      <c r="AC172" s="24">
        <f t="shared" si="163"/>
        <v>0.24184199335371606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254.64144953102331</v>
      </c>
      <c r="AO172" s="62">
        <f t="shared" si="144"/>
        <v>361.41009011468407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0.10318547853421343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5.0702511662319062E-21</v>
      </c>
      <c r="AX172" s="23">
        <f t="shared" si="166"/>
        <v>0.10318547853421343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352.34406861564418</v>
      </c>
      <c r="BJ172" s="62">
        <f t="shared" si="146"/>
        <v>182.40373266220317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-3.694822225952521E-13</v>
      </c>
      <c r="BZ172" s="14">
        <f>BY172*VLOOKUP('Données projet'!$B$12,Paramètres!$A$1:$I$89,3,0)*VLOOKUP('Données projet'!$B$12,Paramètres!$A$1:$I$89,5,0)</f>
        <v>-3.2277966965921228E-13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325.33012514933523</v>
      </c>
      <c r="CE172" s="62">
        <f t="shared" si="148"/>
        <v>332.38915219929675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0.30795973913287567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3.0245346396972997E-20</v>
      </c>
      <c r="CN172" s="24">
        <f t="shared" si="172"/>
        <v>0.30795973913287567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288.65398521628788</v>
      </c>
      <c r="S173" s="62">
        <f ca="1">AVERAGE(OFFSET($R$3,0,0,'Données projet'!$E$9+1,1))-AVERAGE(OFFSET($H$3,0,0,'Données projet'!$E$9+1,1))</f>
        <v>319.74550658573207</v>
      </c>
      <c r="T173" s="62">
        <f t="shared" si="142"/>
        <v>231.35643408122294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0.23709961937310034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5.4153993796191082E-21</v>
      </c>
      <c r="AC173" s="24">
        <f t="shared" si="163"/>
        <v>0.23709961937310034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254.64144953102331</v>
      </c>
      <c r="AO173" s="62">
        <f t="shared" si="144"/>
        <v>361.41009011468407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0.10116207423708491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3.5852089819615818E-21</v>
      </c>
      <c r="AX173" s="23">
        <f t="shared" si="166"/>
        <v>0.10116207423708491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352.34406861564418</v>
      </c>
      <c r="BJ173" s="62">
        <f t="shared" si="146"/>
        <v>182.40373266220317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-3.694822225952521E-13</v>
      </c>
      <c r="BZ173" s="14">
        <f>BY173*VLOOKUP('Données projet'!$B$12,Paramètres!$A$1:$I$89,3,0)*VLOOKUP('Données projet'!$B$12,Paramètres!$A$1:$I$89,5,0)</f>
        <v>-3.2277966965921228E-13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325.33012514933523</v>
      </c>
      <c r="CE173" s="62">
        <f t="shared" si="148"/>
        <v>332.38915219929675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0.30192083648537349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2.1386689536635719E-20</v>
      </c>
      <c r="CN173" s="24">
        <f t="shared" si="172"/>
        <v>0.30192083648537349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288.7351614446635</v>
      </c>
      <c r="S174" s="62">
        <f ca="1">AVERAGE(OFFSET($R$3,0,0,'Données projet'!$E$9+1,1))-AVERAGE(OFFSET($H$3,0,0,'Données projet'!$E$9+1,1))</f>
        <v>319.74550658573207</v>
      </c>
      <c r="T174" s="62">
        <f t="shared" si="142"/>
        <v>231.35643408122294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0.23245024045368196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3.8292656241620939E-21</v>
      </c>
      <c r="AC174" s="24">
        <f t="shared" si="163"/>
        <v>0.23245024045368196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254.64144953102331</v>
      </c>
      <c r="AO174" s="62">
        <f t="shared" si="144"/>
        <v>361.41009011468407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9.9178347664068314E-2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2.5351255831159531E-21</v>
      </c>
      <c r="AX174" s="23">
        <f t="shared" si="166"/>
        <v>9.9178347664068314E-2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352.34406861564418</v>
      </c>
      <c r="BJ174" s="62">
        <f t="shared" si="146"/>
        <v>182.40373266220317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-3.694822225952521E-13</v>
      </c>
      <c r="BZ174" s="14">
        <f>BY174*VLOOKUP('Données projet'!$B$12,Paramètres!$A$1:$I$89,3,0)*VLOOKUP('Données projet'!$B$12,Paramètres!$A$1:$I$89,5,0)</f>
        <v>-3.2277966965921228E-13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325.33012514933523</v>
      </c>
      <c r="CE174" s="62">
        <f t="shared" si="148"/>
        <v>332.38915219929675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0.29600035303542194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1.5122673198486499E-20</v>
      </c>
      <c r="CN174" s="24">
        <f t="shared" si="172"/>
        <v>0.29600035303542194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288.81492944695964</v>
      </c>
      <c r="S175" s="62">
        <f ca="1">AVERAGE(OFFSET($R$3,0,0,'Données projet'!$E$9+1,1))-AVERAGE(OFFSET($H$3,0,0,'Données projet'!$E$9+1,1))</f>
        <v>319.74550658573207</v>
      </c>
      <c r="T175" s="62">
        <f t="shared" si="142"/>
        <v>231.35643408122294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0.22789203301903224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2.7076996898095541E-21</v>
      </c>
      <c r="AC175" s="24">
        <f t="shared" si="163"/>
        <v>0.22789203301903224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254.64144953102331</v>
      </c>
      <c r="AO175" s="62">
        <f t="shared" si="144"/>
        <v>361.41009011468407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9.7233520759194836E-2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1.7926044909807909E-21</v>
      </c>
      <c r="AX175" s="23">
        <f t="shared" si="166"/>
        <v>9.7233520759194836E-2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352.34406861564418</v>
      </c>
      <c r="BJ175" s="62">
        <f t="shared" si="146"/>
        <v>182.40373266220317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-3.694822225952521E-13</v>
      </c>
      <c r="BZ175" s="14">
        <f>BY175*VLOOKUP('Données projet'!$B$12,Paramètres!$A$1:$I$89,3,0)*VLOOKUP('Données projet'!$B$12,Paramètres!$A$1:$I$89,5,0)</f>
        <v>-3.2277966965921228E-13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325.33012514933523</v>
      </c>
      <c r="CE175" s="62">
        <f t="shared" si="148"/>
        <v>332.38915219929675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0.29019596665478559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1.069334476831786E-20</v>
      </c>
      <c r="CN175" s="24">
        <f t="shared" si="172"/>
        <v>0.29019596665478559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288.89331365275046</v>
      </c>
      <c r="S176" s="62">
        <f ca="1">AVERAGE(OFFSET($R$3,0,0,'Données projet'!$E$9+1,1))-AVERAGE(OFFSET($H$3,0,0,'Données projet'!$E$9+1,1))</f>
        <v>319.74550658573207</v>
      </c>
      <c r="T176" s="62">
        <f t="shared" si="142"/>
        <v>231.35643408122294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0.223423209251944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1.914632812081047E-21</v>
      </c>
      <c r="AC176" s="24">
        <f t="shared" si="163"/>
        <v>0.223423209251944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254.64144953102331</v>
      </c>
      <c r="AO176" s="62">
        <f t="shared" si="144"/>
        <v>361.41009011468407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9.5326830723698644E-2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1.2675627915579765E-21</v>
      </c>
      <c r="AX176" s="23">
        <f t="shared" si="166"/>
        <v>9.5326830723698644E-2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352.34406861564418</v>
      </c>
      <c r="BJ176" s="62">
        <f t="shared" si="146"/>
        <v>182.40373266220317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-3.694822225952521E-13</v>
      </c>
      <c r="BZ176" s="14">
        <f>BY176*VLOOKUP('Données projet'!$B$12,Paramètres!$A$1:$I$89,3,0)*VLOOKUP('Données projet'!$B$12,Paramètres!$A$1:$I$89,5,0)</f>
        <v>-3.2277966965921228E-13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325.33012514933523</v>
      </c>
      <c r="CE176" s="62">
        <f t="shared" si="148"/>
        <v>332.38915219929675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0.28450540075074737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7.5613365992432494E-21</v>
      </c>
      <c r="CN176" s="24">
        <f t="shared" si="172"/>
        <v>0.28450540075074737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288.97033806781172</v>
      </c>
      <c r="S177" s="62">
        <f ca="1">AVERAGE(OFFSET($R$3,0,0,'Données projet'!$E$9+1,1))-AVERAGE(OFFSET($H$3,0,0,'Données projet'!$E$9+1,1))</f>
        <v>319.74550658573207</v>
      </c>
      <c r="T177" s="62">
        <f t="shared" si="142"/>
        <v>231.35643408122294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0.21904201639321502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1.3538498449047771E-21</v>
      </c>
      <c r="AC177" s="24">
        <f t="shared" si="163"/>
        <v>0.21904201639321502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254.64144953102331</v>
      </c>
      <c r="AO177" s="62">
        <f t="shared" si="144"/>
        <v>361.41009011468407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9.3457529716832452E-2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8.9630224549039545E-22</v>
      </c>
      <c r="AX177" s="23">
        <f t="shared" si="166"/>
        <v>9.3457529716832452E-2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352.34406861564418</v>
      </c>
      <c r="BJ177" s="62">
        <f t="shared" si="146"/>
        <v>182.40373266220317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-3.694822225952521E-13</v>
      </c>
      <c r="BZ177" s="14">
        <f>BY177*VLOOKUP('Données projet'!$B$12,Paramètres!$A$1:$I$89,3,0)*VLOOKUP('Données projet'!$B$12,Paramètres!$A$1:$I$89,5,0)</f>
        <v>-3.2277966965921228E-13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325.33012514933523</v>
      </c>
      <c r="CE177" s="62">
        <f t="shared" si="148"/>
        <v>332.38915219929675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0.27892642337318491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5.3466723841589298E-21</v>
      </c>
      <c r="CN177" s="24">
        <f t="shared" si="172"/>
        <v>0.27892642337318491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289.04602628147239</v>
      </c>
      <c r="S178" s="62">
        <f ca="1">AVERAGE(OFFSET($R$3,0,0,'Données projet'!$E$9+1,1))-AVERAGE(OFFSET($H$3,0,0,'Données projet'!$E$9+1,1))</f>
        <v>319.74550658573207</v>
      </c>
      <c r="T178" s="62">
        <f t="shared" si="142"/>
        <v>231.35643408122294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0.21474673605418193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9.5731640604052348E-22</v>
      </c>
      <c r="AC178" s="24">
        <f t="shared" si="163"/>
        <v>0.21474673605418193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254.64144953102331</v>
      </c>
      <c r="AO178" s="62">
        <f t="shared" si="144"/>
        <v>361.41009011468407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9.1624884562549871E-2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6.3378139577898827E-22</v>
      </c>
      <c r="AX178" s="23">
        <f t="shared" si="166"/>
        <v>9.1624884562549871E-2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352.34406861564418</v>
      </c>
      <c r="BJ178" s="62">
        <f t="shared" si="146"/>
        <v>182.40373266220317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-3.694822225952521E-13</v>
      </c>
      <c r="BZ178" s="14">
        <f>BY178*VLOOKUP('Données projet'!$B$12,Paramètres!$A$1:$I$89,3,0)*VLOOKUP('Données projet'!$B$12,Paramètres!$A$1:$I$89,5,0)</f>
        <v>-3.2277966965921228E-13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325.33012514933523</v>
      </c>
      <c r="CE178" s="62">
        <f t="shared" si="148"/>
        <v>332.38915219929675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0.27345684633915623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3.7806682996216247E-21</v>
      </c>
      <c r="CN178" s="24">
        <f t="shared" si="172"/>
        <v>0.27345684633915623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289.12040147383959</v>
      </c>
      <c r="S179" s="62">
        <f ca="1">AVERAGE(OFFSET($R$3,0,0,'Données projet'!$E$9+1,1))-AVERAGE(OFFSET($H$3,0,0,'Données projet'!$E$9+1,1))</f>
        <v>319.74550658573207</v>
      </c>
      <c r="T179" s="62">
        <f t="shared" si="142"/>
        <v>231.35643408122294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0.21053568354273497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6.7692492245238853E-22</v>
      </c>
      <c r="AC179" s="24">
        <f t="shared" si="163"/>
        <v>0.21053568354273497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254.64144953102331</v>
      </c>
      <c r="AO179" s="62">
        <f t="shared" si="144"/>
        <v>361.41009011468407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8.9828176461939607E-2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4.4815112274519773E-22</v>
      </c>
      <c r="AX179" s="23">
        <f t="shared" si="166"/>
        <v>8.9828176461939607E-2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352.34406861564418</v>
      </c>
      <c r="BJ179" s="62">
        <f t="shared" si="146"/>
        <v>182.40373266220317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-3.694822225952521E-13</v>
      </c>
      <c r="BZ179" s="14">
        <f>BY179*VLOOKUP('Données projet'!$B$12,Paramètres!$A$1:$I$89,3,0)*VLOOKUP('Données projet'!$B$12,Paramètres!$A$1:$I$89,5,0)</f>
        <v>-3.2277966965921228E-13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325.33012514933523</v>
      </c>
      <c r="CE179" s="62">
        <f t="shared" si="148"/>
        <v>332.38915219929675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0.26809452437465231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2.6733361920794649E-21</v>
      </c>
      <c r="CN179" s="24">
        <f t="shared" si="172"/>
        <v>0.26809452437465231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289.19348642289725</v>
      </c>
      <c r="S180" s="62">
        <f ca="1">AVERAGE(OFFSET($R$3,0,0,'Données projet'!$E$9+1,1))-AVERAGE(OFFSET($H$3,0,0,'Données projet'!$E$9+1,1))</f>
        <v>319.74550658573207</v>
      </c>
      <c r="T180" s="62">
        <f t="shared" si="142"/>
        <v>231.35643408122294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0.20640720720254907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4.7865820302026174E-22</v>
      </c>
      <c r="AC180" s="24">
        <f t="shared" si="163"/>
        <v>0.20640720720254907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254.64144953102331</v>
      </c>
      <c r="AO180" s="62">
        <f t="shared" si="144"/>
        <v>361.41009011468407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8.8066700711298573E-2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3.1689069788949414E-22</v>
      </c>
      <c r="AX180" s="23">
        <f t="shared" si="166"/>
        <v>8.8066700711298573E-2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352.34406861564418</v>
      </c>
      <c r="BJ180" s="62">
        <f t="shared" si="146"/>
        <v>182.40373266220317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-3.694822225952521E-13</v>
      </c>
      <c r="BZ180" s="14">
        <f>BY180*VLOOKUP('Données projet'!$B$12,Paramètres!$A$1:$I$89,3,0)*VLOOKUP('Données projet'!$B$12,Paramètres!$A$1:$I$89,5,0)</f>
        <v>-3.2277966965921228E-13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325.33012514933523</v>
      </c>
      <c r="CE180" s="62">
        <f t="shared" si="148"/>
        <v>332.38915219929675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0.26283735427317884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1.8903341498108123E-21</v>
      </c>
      <c r="CN180" s="24">
        <f t="shared" si="172"/>
        <v>0.26283735427317884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289.26530351148216</v>
      </c>
      <c r="S181" s="62">
        <f ca="1">AVERAGE(OFFSET($R$3,0,0,'Données projet'!$E$9+1,1))-AVERAGE(OFFSET($H$3,0,0,'Données projet'!$E$9+1,1))</f>
        <v>319.74550658573207</v>
      </c>
      <c r="T181" s="62">
        <f t="shared" si="142"/>
        <v>231.35643408122294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0.20235968776527227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3.3846246122619426E-22</v>
      </c>
      <c r="AC181" s="24">
        <f t="shared" si="163"/>
        <v>0.20235968776527227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254.64144953102331</v>
      </c>
      <c r="AO181" s="62">
        <f t="shared" si="144"/>
        <v>361.41009011468407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8.6339766425733488E-2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2.2407556137259886E-22</v>
      </c>
      <c r="AX181" s="23">
        <f t="shared" si="166"/>
        <v>8.6339766425733488E-2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352.34406861564418</v>
      </c>
      <c r="BJ181" s="62">
        <f t="shared" si="146"/>
        <v>182.40373266220317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-3.694822225952521E-13</v>
      </c>
      <c r="BZ181" s="14">
        <f>BY181*VLOOKUP('Données projet'!$B$12,Paramètres!$A$1:$I$89,3,0)*VLOOKUP('Données projet'!$B$12,Paramètres!$A$1:$I$89,5,0)</f>
        <v>-3.2277966965921228E-13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325.33012514933523</v>
      </c>
      <c r="CE181" s="62">
        <f t="shared" si="148"/>
        <v>332.38915219929675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0.25768327407083813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1.3366680960397324E-21</v>
      </c>
      <c r="CN181" s="24">
        <f t="shared" si="172"/>
        <v>0.25768327407083813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289.33587473413911</v>
      </c>
      <c r="S182" s="62">
        <f ca="1">AVERAGE(OFFSET($R$3,0,0,'Données projet'!$E$9+1,1))-AVERAGE(OFFSET($H$3,0,0,'Données projet'!$E$9+1,1))</f>
        <v>319.74550658573207</v>
      </c>
      <c r="T182" s="62">
        <f t="shared" si="142"/>
        <v>231.35643408122294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0.1983915377154174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2.3932910151013087E-22</v>
      </c>
      <c r="AC182" s="24">
        <f t="shared" si="163"/>
        <v>0.1983915377154174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254.64144953102331</v>
      </c>
      <c r="AO182" s="62">
        <f t="shared" si="144"/>
        <v>361.41009011468407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8.4646696268182428E-2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1.5844534894474707E-22</v>
      </c>
      <c r="AX182" s="23">
        <f t="shared" si="166"/>
        <v>8.4646696268182428E-2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352.34406861564418</v>
      </c>
      <c r="BJ182" s="62">
        <f t="shared" si="146"/>
        <v>182.40373266220317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-3.694822225952521E-13</v>
      </c>
      <c r="BZ182" s="14">
        <f>BY182*VLOOKUP('Données projet'!$B$12,Paramètres!$A$1:$I$89,3,0)*VLOOKUP('Données projet'!$B$12,Paramètres!$A$1:$I$89,5,0)</f>
        <v>-3.2277966965921228E-13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325.33012514933523</v>
      </c>
      <c r="CE182" s="62">
        <f t="shared" si="148"/>
        <v>332.38915219929675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0.25263026223758678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9.4516707490540617E-22</v>
      </c>
      <c r="CN182" s="24">
        <f t="shared" si="172"/>
        <v>0.25263026223758678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289.40522170385663</v>
      </c>
      <c r="S183" s="62">
        <f ca="1">AVERAGE(OFFSET($R$3,0,0,'Données projet'!$E$9+1,1))-AVERAGE(OFFSET($H$3,0,0,'Données projet'!$E$9+1,1))</f>
        <v>319.74550658573207</v>
      </c>
      <c r="T183" s="62">
        <f t="shared" si="142"/>
        <v>231.35643408122294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0.19450120066770762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1.6923123061309713E-22</v>
      </c>
      <c r="AC183" s="24">
        <f t="shared" si="163"/>
        <v>0.19450120066770762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254.64144953102331</v>
      </c>
      <c r="AO183" s="62">
        <f t="shared" si="144"/>
        <v>361.41009011468407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8.2986826183750112E-2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1.1203778068629943E-22</v>
      </c>
      <c r="AX183" s="23">
        <f t="shared" si="166"/>
        <v>8.2986826183750112E-2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352.34406861564418</v>
      </c>
      <c r="BJ183" s="62">
        <f t="shared" si="146"/>
        <v>182.40373266220317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-3.694822225952521E-13</v>
      </c>
      <c r="BZ183" s="14">
        <f>BY183*VLOOKUP('Données projet'!$B$12,Paramètres!$A$1:$I$89,3,0)*VLOOKUP('Données projet'!$B$12,Paramètres!$A$1:$I$89,5,0)</f>
        <v>-3.2277966965921228E-13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325.33012514933523</v>
      </c>
      <c r="CE183" s="62">
        <f t="shared" si="148"/>
        <v>332.38915219929675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0.24767633688435262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6.6833404801986622E-22</v>
      </c>
      <c r="CN183" s="24">
        <f t="shared" si="172"/>
        <v>0.24767633688435262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289.47336565868608</v>
      </c>
      <c r="S184" s="62">
        <f ca="1">AVERAGE(OFFSET($R$3,0,0,'Données projet'!$E$9+1,1))-AVERAGE(OFFSET($H$3,0,0,'Données projet'!$E$9+1,1))</f>
        <v>319.74550658573207</v>
      </c>
      <c r="T184" s="62">
        <f t="shared" si="142"/>
        <v>231.35643408122294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0.19068715075663215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1.1966455075506543E-22</v>
      </c>
      <c r="AC184" s="24">
        <f t="shared" si="163"/>
        <v>0.19068715075663215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254.64144953102331</v>
      </c>
      <c r="AO184" s="62">
        <f t="shared" si="144"/>
        <v>361.41009011468407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8.1359505139252733E-2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7.9222674472373534E-23</v>
      </c>
      <c r="AX184" s="23">
        <f t="shared" si="166"/>
        <v>8.1359505139252733E-2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352.34406861564418</v>
      </c>
      <c r="BJ184" s="62">
        <f t="shared" si="146"/>
        <v>182.40373266220317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-3.694822225952521E-13</v>
      </c>
      <c r="BZ184" s="14">
        <f>BY184*VLOOKUP('Données projet'!$B$12,Paramètres!$A$1:$I$89,3,0)*VLOOKUP('Données projet'!$B$12,Paramètres!$A$1:$I$89,5,0)</f>
        <v>-3.2277966965921228E-13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325.33012514933523</v>
      </c>
      <c r="CE184" s="62">
        <f t="shared" si="148"/>
        <v>332.38915219929675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0.24281955498569927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4.7258353745270309E-22</v>
      </c>
      <c r="CN184" s="24">
        <f t="shared" si="172"/>
        <v>0.24281955498569927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289.5403274682464</v>
      </c>
      <c r="S185" s="62">
        <f ca="1">AVERAGE(OFFSET($R$3,0,0,'Données projet'!$E$9+1,1))-AVERAGE(OFFSET($H$3,0,0,'Données projet'!$E$9+1,1))</f>
        <v>319.74550658573207</v>
      </c>
      <c r="T185" s="62">
        <f t="shared" si="142"/>
        <v>231.35643408122294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0.18694789203797213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8.4615615306548566E-23</v>
      </c>
      <c r="AC185" s="24">
        <f t="shared" si="163"/>
        <v>0.18694789203797213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254.64144953102331</v>
      </c>
      <c r="AO185" s="62">
        <f t="shared" si="144"/>
        <v>361.41009011468407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7.9764094867870117E-2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5.6018890343149716E-23</v>
      </c>
      <c r="AX185" s="23">
        <f t="shared" si="166"/>
        <v>7.9764094867870117E-2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352.34406861564418</v>
      </c>
      <c r="BJ185" s="62">
        <f t="shared" si="146"/>
        <v>182.40373266220317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-3.694822225952521E-13</v>
      </c>
      <c r="BZ185" s="14">
        <f>BY185*VLOOKUP('Données projet'!$B$12,Paramètres!$A$1:$I$89,3,0)*VLOOKUP('Données projet'!$B$12,Paramètres!$A$1:$I$89,5,0)</f>
        <v>-3.2277966965921228E-13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325.33012514933523</v>
      </c>
      <c r="CE185" s="62">
        <f t="shared" si="148"/>
        <v>332.38915219929675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0.23805801161773407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3.3416702400993311E-22</v>
      </c>
      <c r="CN185" s="24">
        <f t="shared" si="172"/>
        <v>0.23805801161773407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289.60612764011495</v>
      </c>
      <c r="S186" s="62">
        <f ca="1">AVERAGE(OFFSET($R$3,0,0,'Données projet'!$E$9+1,1))-AVERAGE(OFFSET($H$3,0,0,'Données projet'!$E$9+1,1))</f>
        <v>319.74550658573207</v>
      </c>
      <c r="T186" s="62">
        <f t="shared" si="142"/>
        <v>231.35643408122294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0.18328195790206242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5.9832275377532717E-23</v>
      </c>
      <c r="AC186" s="24">
        <f t="shared" si="163"/>
        <v>0.18328195790206242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254.64144953102331</v>
      </c>
      <c r="AO186" s="62">
        <f t="shared" si="144"/>
        <v>361.41009011468407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7.819996961880514E-2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3.9611337236186767E-23</v>
      </c>
      <c r="AX186" s="23">
        <f t="shared" si="166"/>
        <v>7.819996961880514E-2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352.34406861564418</v>
      </c>
      <c r="BJ186" s="62">
        <f t="shared" si="146"/>
        <v>182.40373266220317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-3.694822225952521E-13</v>
      </c>
      <c r="BZ186" s="14">
        <f>BY186*VLOOKUP('Données projet'!$B$12,Paramètres!$A$1:$I$89,3,0)*VLOOKUP('Données projet'!$B$12,Paramètres!$A$1:$I$89,5,0)</f>
        <v>-3.2277966965921228E-13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325.33012514933523</v>
      </c>
      <c r="CE186" s="62">
        <f t="shared" si="148"/>
        <v>332.38915219929675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0.23338983921095999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2.3629176872635154E-22</v>
      </c>
      <c r="CN186" s="24">
        <f t="shared" si="172"/>
        <v>0.23338983921095999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289.67078632610873</v>
      </c>
      <c r="S187" s="62">
        <f ca="1">AVERAGE(OFFSET($R$3,0,0,'Données projet'!$E$9+1,1))-AVERAGE(OFFSET($H$3,0,0,'Données projet'!$E$9+1,1))</f>
        <v>319.74550658573207</v>
      </c>
      <c r="T187" s="62">
        <f t="shared" si="142"/>
        <v>231.35643408122294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0.17968791049855887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4.2307807653274283E-23</v>
      </c>
      <c r="AC187" s="24">
        <f t="shared" si="163"/>
        <v>0.17968791049855887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254.64144953102331</v>
      </c>
      <c r="AO187" s="62">
        <f t="shared" si="144"/>
        <v>361.41009011468407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7.6666515911852126E-2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2.8009445171574858E-23</v>
      </c>
      <c r="AX187" s="23">
        <f t="shared" si="166"/>
        <v>7.6666515911852126E-2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352.34406861564418</v>
      </c>
      <c r="BJ187" s="62">
        <f t="shared" si="146"/>
        <v>182.40373266220317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-3.694822225952521E-13</v>
      </c>
      <c r="BZ187" s="14">
        <f>BY187*VLOOKUP('Données projet'!$B$12,Paramètres!$A$1:$I$89,3,0)*VLOOKUP('Données projet'!$B$12,Paramètres!$A$1:$I$89,5,0)</f>
        <v>-3.2277966965921228E-13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325.33012514933523</v>
      </c>
      <c r="CE187" s="62">
        <f t="shared" si="148"/>
        <v>332.38915219929675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0.22881320681777872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1.6708351200496656E-22</v>
      </c>
      <c r="CN187" s="24">
        <f t="shared" si="172"/>
        <v>0.22881320681777872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289.73432332845573</v>
      </c>
      <c r="S188" s="62">
        <f ca="1">AVERAGE(OFFSET($R$3,0,0,'Données projet'!$E$9+1,1))-AVERAGE(OFFSET($H$3,0,0,'Données projet'!$E$9+1,1))</f>
        <v>319.74550658573207</v>
      </c>
      <c r="T188" s="62">
        <f t="shared" si="142"/>
        <v>231.35643408122294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0.17616434017248556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2.9916137688766359E-23</v>
      </c>
      <c r="AC188" s="24">
        <f t="shared" si="163"/>
        <v>0.17616434017248556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254.64144953102331</v>
      </c>
      <c r="AO188" s="62">
        <f t="shared" si="144"/>
        <v>361.41009011468407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7.5163132296778054E-2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1.9805668618093384E-23</v>
      </c>
      <c r="AX188" s="23">
        <f t="shared" si="166"/>
        <v>7.5163132296778054E-2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352.34406861564418</v>
      </c>
      <c r="BJ188" s="62">
        <f t="shared" si="146"/>
        <v>182.40373266220317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-3.694822225952521E-13</v>
      </c>
      <c r="BZ188" s="14">
        <f>BY188*VLOOKUP('Données projet'!$B$12,Paramètres!$A$1:$I$89,3,0)*VLOOKUP('Données projet'!$B$12,Paramètres!$A$1:$I$89,5,0)</f>
        <v>-3.2277966965921228E-13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325.33012514933523</v>
      </c>
      <c r="CE188" s="62">
        <f t="shared" si="148"/>
        <v>332.38915219929675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0.22432631939435763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1.1814588436317577E-22</v>
      </c>
      <c r="CN188" s="24">
        <f t="shared" si="172"/>
        <v>0.22432631939435763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289.7967581058594</v>
      </c>
      <c r="S189" s="62">
        <f ca="1">AVERAGE(OFFSET($R$3,0,0,'Données projet'!$E$9+1,1))-AVERAGE(OFFSET($H$3,0,0,'Données projet'!$E$9+1,1))</f>
        <v>319.74550658573207</v>
      </c>
      <c r="T189" s="62">
        <f t="shared" si="142"/>
        <v>231.35643408122294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0.17270986491134085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2.1153903826637141E-23</v>
      </c>
      <c r="AC189" s="24">
        <f t="shared" si="163"/>
        <v>0.17270986491134085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254.64144953102331</v>
      </c>
      <c r="AO189" s="62">
        <f t="shared" si="144"/>
        <v>361.41009011468407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7.3689229117422123E-2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1.4004722585787429E-23</v>
      </c>
      <c r="AX189" s="23">
        <f t="shared" si="166"/>
        <v>7.3689229117422123E-2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352.34406861564418</v>
      </c>
      <c r="BJ189" s="62">
        <f t="shared" si="146"/>
        <v>182.40373266220317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-3.694822225952521E-13</v>
      </c>
      <c r="BZ189" s="14">
        <f>BY189*VLOOKUP('Données projet'!$B$12,Paramètres!$A$1:$I$89,3,0)*VLOOKUP('Données projet'!$B$12,Paramètres!$A$1:$I$89,5,0)</f>
        <v>-3.2277966965921228E-13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325.33012514933523</v>
      </c>
      <c r="CE189" s="62">
        <f t="shared" si="148"/>
        <v>332.38915219929675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0.2199274170965787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8.3541756002483278E-23</v>
      </c>
      <c r="CN189" s="24">
        <f t="shared" si="172"/>
        <v>0.2199274170965787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289.8581097794584</v>
      </c>
      <c r="S190" s="62">
        <f ca="1">AVERAGE(OFFSET($R$3,0,0,'Données projet'!$E$9+1,1))-AVERAGE(OFFSET($H$3,0,0,'Données projet'!$E$9+1,1))</f>
        <v>319.74550658573207</v>
      </c>
      <c r="T190" s="62">
        <f t="shared" si="142"/>
        <v>231.35643408122294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0.16932312980304534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1.4958068844383179E-23</v>
      </c>
      <c r="AC190" s="24">
        <f t="shared" si="163"/>
        <v>0.16932312980304534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254.64144953102331</v>
      </c>
      <c r="AO190" s="62">
        <f t="shared" si="144"/>
        <v>361.41009011468407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7.2244228280421194E-2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9.9028343090466918E-24</v>
      </c>
      <c r="AX190" s="23">
        <f t="shared" si="166"/>
        <v>7.2244228280421194E-2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352.34406861564418</v>
      </c>
      <c r="BJ190" s="62">
        <f t="shared" si="146"/>
        <v>182.40373266220317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-3.694822225952521E-13</v>
      </c>
      <c r="BZ190" s="14">
        <f>BY190*VLOOKUP('Données projet'!$B$12,Paramètres!$A$1:$I$89,3,0)*VLOOKUP('Données projet'!$B$12,Paramètres!$A$1:$I$89,5,0)</f>
        <v>-3.2277966965921228E-13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325.33012514933523</v>
      </c>
      <c r="CE190" s="62">
        <f t="shared" si="148"/>
        <v>332.38915219929675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0.21561477458979375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5.9072942181587886E-23</v>
      </c>
      <c r="CN190" s="24">
        <f t="shared" si="172"/>
        <v>0.21561477458979375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289.91839713868222</v>
      </c>
      <c r="S191" s="62">
        <f ca="1">AVERAGE(OFFSET($R$3,0,0,'Données projet'!$E$9+1,1))-AVERAGE(OFFSET($H$3,0,0,'Données projet'!$E$9+1,1))</f>
        <v>319.74550658573207</v>
      </c>
      <c r="T191" s="62">
        <f t="shared" si="142"/>
        <v>231.35643408122294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0.16600280650451904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1.0576951913318571E-23</v>
      </c>
      <c r="AC191" s="24">
        <f t="shared" si="163"/>
        <v>0.16600280650451904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254.64144953102331</v>
      </c>
      <c r="AO191" s="62">
        <f t="shared" si="144"/>
        <v>361.41009011468407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7.0827563028470361E-2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7.0023612928937145E-24</v>
      </c>
      <c r="AX191" s="23">
        <f t="shared" si="166"/>
        <v>7.0827563028470361E-2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352.34406861564418</v>
      </c>
      <c r="BJ191" s="62">
        <f t="shared" si="146"/>
        <v>182.40373266220317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-3.694822225952521E-13</v>
      </c>
      <c r="BZ191" s="14">
        <f>BY191*VLOOKUP('Données projet'!$B$12,Paramètres!$A$1:$I$89,3,0)*VLOOKUP('Données projet'!$B$12,Paramètres!$A$1:$I$89,5,0)</f>
        <v>-3.2277966965921228E-13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325.33012514933523</v>
      </c>
      <c r="CE191" s="62">
        <f t="shared" si="148"/>
        <v>332.38915219929675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0.21138670037211466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4.1770878001241639E-23</v>
      </c>
      <c r="CN191" s="24">
        <f t="shared" si="172"/>
        <v>0.21138670037211466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289.97763864700585</v>
      </c>
      <c r="S192" s="62">
        <f ca="1">AVERAGE(OFFSET($R$3,0,0,'Données projet'!$E$9+1,1))-AVERAGE(OFFSET($H$3,0,0,'Données projet'!$E$9+1,1))</f>
        <v>319.74550658573207</v>
      </c>
      <c r="T192" s="62">
        <f t="shared" si="142"/>
        <v>231.35643408122294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0.16274759272067962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7.4790344221915896E-24</v>
      </c>
      <c r="AC192" s="24">
        <f t="shared" si="163"/>
        <v>0.16274759272067962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254.64144953102331</v>
      </c>
      <c r="AO192" s="62">
        <f t="shared" si="144"/>
        <v>361.41009011468407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6.9438677718029806E-2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4.9514171545233459E-24</v>
      </c>
      <c r="AX192" s="23">
        <f t="shared" si="166"/>
        <v>6.9438677718029806E-2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352.34406861564418</v>
      </c>
      <c r="BJ192" s="62">
        <f t="shared" si="146"/>
        <v>182.40373266220317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-3.694822225952521E-13</v>
      </c>
      <c r="BZ192" s="14">
        <f>BY192*VLOOKUP('Données projet'!$B$12,Paramètres!$A$1:$I$89,3,0)*VLOOKUP('Données projet'!$B$12,Paramètres!$A$1:$I$89,5,0)</f>
        <v>-3.2277966965921228E-13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325.33012514933523</v>
      </c>
      <c r="CE192" s="62">
        <f t="shared" si="148"/>
        <v>332.38915219929675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0.20724153611097362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2.9536471090793943E-23</v>
      </c>
      <c r="CN192" s="24">
        <f t="shared" si="172"/>
        <v>0.20724153611097362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290.03585244760427</v>
      </c>
      <c r="S193" s="62">
        <f ca="1">AVERAGE(OFFSET($R$3,0,0,'Données projet'!$E$9+1,1))-AVERAGE(OFFSET($H$3,0,0,'Données projet'!$E$9+1,1))</f>
        <v>319.74550658573207</v>
      </c>
      <c r="T193" s="62">
        <f t="shared" si="142"/>
        <v>231.35643408122294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0.15955621169365694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5.2884759566592854E-24</v>
      </c>
      <c r="AC193" s="24">
        <f t="shared" si="163"/>
        <v>0.15955621169365694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254.64144953102331</v>
      </c>
      <c r="AO193" s="62">
        <f t="shared" si="144"/>
        <v>361.41009011468407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6.8077027601390602E-2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3.5011806464468572E-24</v>
      </c>
      <c r="AX193" s="23">
        <f t="shared" si="166"/>
        <v>6.8077027601390602E-2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352.34406861564418</v>
      </c>
      <c r="BJ193" s="62">
        <f t="shared" si="146"/>
        <v>182.40373266220317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-3.694822225952521E-13</v>
      </c>
      <c r="BZ193" s="14">
        <f>BY193*VLOOKUP('Données projet'!$B$12,Paramètres!$A$1:$I$89,3,0)*VLOOKUP('Données projet'!$B$12,Paramètres!$A$1:$I$89,5,0)</f>
        <v>-3.2277966965921228E-13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325.33012514933523</v>
      </c>
      <c r="CE193" s="62">
        <f t="shared" si="148"/>
        <v>332.38915219929675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0.20317765599269302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2.0885439000620819E-23</v>
      </c>
      <c r="CN193" s="24">
        <f t="shared" si="172"/>
        <v>0.20317765599269302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290.09305636890883</v>
      </c>
      <c r="S194" s="62">
        <f ca="1">AVERAGE(OFFSET($R$3,0,0,'Données projet'!$E$9+1,1))-AVERAGE(OFFSET($H$3,0,0,'Données projet'!$E$9+1,1))</f>
        <v>319.74550658573207</v>
      </c>
      <c r="T194" s="62">
        <f t="shared" si="142"/>
        <v>231.35643408122294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0.15642741170202393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3.7395172110957948E-24</v>
      </c>
      <c r="AC194" s="24">
        <f t="shared" si="163"/>
        <v>0.15642741170202393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254.64144953102331</v>
      </c>
      <c r="AO194" s="62">
        <f t="shared" si="144"/>
        <v>361.41009011468407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6.6742078613014122E-2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2.4757085772616729E-24</v>
      </c>
      <c r="AX194" s="23">
        <f t="shared" si="166"/>
        <v>6.6742078613014122E-2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352.34406861564418</v>
      </c>
      <c r="BJ194" s="62">
        <f t="shared" si="146"/>
        <v>182.40373266220317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-3.694822225952521E-13</v>
      </c>
      <c r="BZ194" s="14">
        <f>BY194*VLOOKUP('Données projet'!$B$12,Paramètres!$A$1:$I$89,3,0)*VLOOKUP('Données projet'!$B$12,Paramètres!$A$1:$I$89,5,0)</f>
        <v>-3.2277966965921228E-13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325.33012514933523</v>
      </c>
      <c r="CE194" s="62">
        <f t="shared" si="148"/>
        <v>332.38915219929675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0.19919346608480978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1.4768235545396971E-23</v>
      </c>
      <c r="CN194" s="24">
        <f t="shared" si="172"/>
        <v>0.19919346608480978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290.14926793006765</v>
      </c>
      <c r="S195" s="62">
        <f ca="1">AVERAGE(OFFSET($R$3,0,0,'Données projet'!$E$9+1,1))-AVERAGE(OFFSET($H$3,0,0,'Données projet'!$E$9+1,1))</f>
        <v>319.74550658573207</v>
      </c>
      <c r="T195" s="62">
        <f t="shared" si="142"/>
        <v>231.35643408122294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0.1533599655698473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2.6442379783296427E-24</v>
      </c>
      <c r="AC195" s="24">
        <f t="shared" si="163"/>
        <v>0.1533599655698473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254.64144953102331</v>
      </c>
      <c r="AO195" s="62">
        <f t="shared" si="144"/>
        <v>361.41009011468407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6.5433307160061224E-2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1.7505903232234286E-24</v>
      </c>
      <c r="AX195" s="23">
        <f t="shared" si="166"/>
        <v>6.5433307160061224E-2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352.34406861564418</v>
      </c>
      <c r="BJ195" s="62">
        <f t="shared" si="146"/>
        <v>182.40373266220317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-3.694822225952521E-13</v>
      </c>
      <c r="BZ195" s="14">
        <f>BY195*VLOOKUP('Données projet'!$B$12,Paramètres!$A$1:$I$89,3,0)*VLOOKUP('Données projet'!$B$12,Paramètres!$A$1:$I$89,5,0)</f>
        <v>-3.2277966965921228E-13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325.33012514933523</v>
      </c>
      <c r="CE195" s="62">
        <f t="shared" si="148"/>
        <v>332.38915219929675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0.19528740371090425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1.044271950031041E-23</v>
      </c>
      <c r="CN195" s="24">
        <f t="shared" si="172"/>
        <v>0.19528740371090425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290.2045043463105</v>
      </c>
      <c r="S196" s="62">
        <f ca="1">AVERAGE(OFFSET($R$3,0,0,'Données projet'!$E$9+1,1))-AVERAGE(OFFSET($H$3,0,0,'Données projet'!$E$9+1,1))</f>
        <v>319.74550658573207</v>
      </c>
      <c r="T196" s="62">
        <f t="shared" si="142"/>
        <v>231.35643408122294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0.15035267018536524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1.8697586055478974E-24</v>
      </c>
      <c r="AC196" s="24">
        <f t="shared" si="163"/>
        <v>0.15035267018536524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254.64144953102331</v>
      </c>
      <c r="AO196" s="62">
        <f t="shared" si="144"/>
        <v>361.41009011468407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6.4150199917028972E-2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1.2378542886308365E-24</v>
      </c>
      <c r="AX196" s="23">
        <f t="shared" si="166"/>
        <v>6.4150199917028972E-2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352.34406861564418</v>
      </c>
      <c r="BJ196" s="62">
        <f t="shared" si="146"/>
        <v>182.40373266220317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-3.694822225952521E-13</v>
      </c>
      <c r="BZ196" s="14">
        <f>BY196*VLOOKUP('Données projet'!$B$12,Paramètres!$A$1:$I$89,3,0)*VLOOKUP('Données projet'!$B$12,Paramètres!$A$1:$I$89,5,0)</f>
        <v>-3.2277966965921228E-13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325.33012514933523</v>
      </c>
      <c r="CE196" s="62">
        <f t="shared" si="148"/>
        <v>332.38915219929675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0.19145793683768819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7.3841177726984857E-24</v>
      </c>
      <c r="CN196" s="24">
        <f t="shared" si="172"/>
        <v>0.19145793683768819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290.25878253422172</v>
      </c>
      <c r="S197" s="62">
        <f ca="1">AVERAGE(OFFSET($R$3,0,0,'Données projet'!$E$9+1,1))-AVERAGE(OFFSET($H$3,0,0,'Données projet'!$E$9+1,1))</f>
        <v>319.74550658573207</v>
      </c>
      <c r="T197" s="62">
        <f t="shared" ref="T197:T203" si="204">$T$3</f>
        <v>231.35643408122294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0.14740434602910382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1.3221189891648213E-24</v>
      </c>
      <c r="AC197" s="24">
        <f t="shared" si="163"/>
        <v>0.14740434602910382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254.64144953102331</v>
      </c>
      <c r="AO197" s="62">
        <f t="shared" ref="AO197:AO203" si="205">$AO$3</f>
        <v>361.41009011468407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6.2892253624414432E-2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8.7529516161171431E-25</v>
      </c>
      <c r="AX197" s="23">
        <f t="shared" si="166"/>
        <v>6.2892253624414432E-2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352.34406861564418</v>
      </c>
      <c r="BJ197" s="62">
        <f t="shared" ref="BJ197:BJ203" si="206">$BJ$3</f>
        <v>182.40373266220317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-3.694822225952521E-13</v>
      </c>
      <c r="BZ197" s="14">
        <f>BY197*VLOOKUP('Données projet'!$B$12,Paramètres!$A$1:$I$89,3,0)*VLOOKUP('Données projet'!$B$12,Paramètres!$A$1:$I$89,5,0)</f>
        <v>-3.2277966965921228E-13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325.33012514933523</v>
      </c>
      <c r="CE197" s="62">
        <f t="shared" ref="CE197:CE203" si="207">$CE$3</f>
        <v>332.38915219929675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0.18770356347411174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5.2213597501552049E-24</v>
      </c>
      <c r="CN197" s="24">
        <f t="shared" si="172"/>
        <v>0.18770356347411174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290.31211911692048</v>
      </c>
      <c r="S198" s="62">
        <f ca="1">AVERAGE(OFFSET($R$3,0,0,'Données projet'!$E$9+1,1))-AVERAGE(OFFSET($H$3,0,0,'Données projet'!$E$9+1,1))</f>
        <v>319.74550658573207</v>
      </c>
      <c r="T198" s="62">
        <f t="shared" si="204"/>
        <v>231.35643408122294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0.14451383671124651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9.3487930277394871E-25</v>
      </c>
      <c r="AC198" s="24">
        <f t="shared" si="163"/>
        <v>0.14451383671124651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254.64144953102331</v>
      </c>
      <c r="AO198" s="62">
        <f t="shared" si="205"/>
        <v>361.41009011468407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6.1658974891326594E-2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6.1892714431541824E-25</v>
      </c>
      <c r="AX198" s="23">
        <f t="shared" si="166"/>
        <v>6.1658974891326594E-2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352.34406861564418</v>
      </c>
      <c r="BJ198" s="62">
        <f t="shared" si="206"/>
        <v>182.40373266220317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-3.694822225952521E-13</v>
      </c>
      <c r="BZ198" s="14">
        <f>BY198*VLOOKUP('Données projet'!$B$12,Paramètres!$A$1:$I$89,3,0)*VLOOKUP('Données projet'!$B$12,Paramètres!$A$1:$I$89,5,0)</f>
        <v>-3.2277966965921228E-13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325.33012514933523</v>
      </c>
      <c r="CE198" s="62">
        <f t="shared" si="207"/>
        <v>332.38915219929675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0.18402281108225338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3.6920588863492429E-24</v>
      </c>
      <c r="CN198" s="24">
        <f t="shared" si="172"/>
        <v>0.18402281108225338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290.36453042915218</v>
      </c>
      <c r="S199" s="62">
        <f ca="1">AVERAGE(OFFSET($R$3,0,0,'Données projet'!$E$9+1,1))-AVERAGE(OFFSET($H$3,0,0,'Données projet'!$E$9+1,1))</f>
        <v>319.74550658573207</v>
      </c>
      <c r="T199" s="62">
        <f t="shared" si="204"/>
        <v>231.35643408122294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0.1416800085180758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6.6105949458241067E-25</v>
      </c>
      <c r="AC199" s="24">
        <f t="shared" si="163"/>
        <v>0.1416800085180758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254.64144953102331</v>
      </c>
      <c r="AO199" s="62">
        <f t="shared" si="205"/>
        <v>361.41009011468407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6.0449880001968853E-2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4.3764758080585716E-25</v>
      </c>
      <c r="AX199" s="23">
        <f t="shared" si="166"/>
        <v>6.0449880001968853E-2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352.34406861564418</v>
      </c>
      <c r="BJ199" s="62">
        <f t="shared" si="206"/>
        <v>182.40373266220317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-3.694822225952521E-13</v>
      </c>
      <c r="BZ199" s="14">
        <f>BY199*VLOOKUP('Données projet'!$B$12,Paramètres!$A$1:$I$89,3,0)*VLOOKUP('Données projet'!$B$12,Paramètres!$A$1:$I$89,5,0)</f>
        <v>-3.2277966965921228E-13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325.33012514933523</v>
      </c>
      <c r="CE199" s="62">
        <f t="shared" si="207"/>
        <v>332.38915219929675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0.18041423599976208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2.6106798750776024E-24</v>
      </c>
      <c r="CN199" s="24">
        <f t="shared" si="172"/>
        <v>0.18041423599976208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290.41603252229078</v>
      </c>
      <c r="S200" s="62">
        <f ca="1">AVERAGE(OFFSET($R$3,0,0,'Données projet'!$E$9+1,1))-AVERAGE(OFFSET($H$3,0,0,'Données projet'!$E$9+1,1))</f>
        <v>319.74550658573207</v>
      </c>
      <c r="T200" s="62">
        <f t="shared" si="204"/>
        <v>231.35643408122294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0.13890174996730864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4.6743965138697435E-25</v>
      </c>
      <c r="AC200" s="24">
        <f t="shared" si="163"/>
        <v>0.13890174996730864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254.64144953102331</v>
      </c>
      <c r="AO200" s="62">
        <f t="shared" si="205"/>
        <v>361.41009011468407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5.9264494725916356E-2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3.0946357215770912E-25</v>
      </c>
      <c r="AX200" s="23">
        <f t="shared" si="166"/>
        <v>5.9264494725916356E-2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352.34406861564418</v>
      </c>
      <c r="BJ200" s="62">
        <f t="shared" si="206"/>
        <v>182.40373266220317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-3.694822225952521E-13</v>
      </c>
      <c r="BZ200" s="14">
        <f>BY200*VLOOKUP('Données projet'!$B$12,Paramètres!$A$1:$I$89,3,0)*VLOOKUP('Données projet'!$B$12,Paramètres!$A$1:$I$89,5,0)</f>
        <v>-3.2277966965921228E-13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325.33012514933523</v>
      </c>
      <c r="CE200" s="62">
        <f t="shared" si="207"/>
        <v>332.38915219929675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0.17687642287362498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1.8460294431746214E-24</v>
      </c>
      <c r="CN200" s="24">
        <f t="shared" si="172"/>
        <v>0.17687642287362498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290.4666411692549</v>
      </c>
      <c r="S201" s="62">
        <f ca="1">AVERAGE(OFFSET($R$3,0,0,'Données projet'!$E$9+1,1))-AVERAGE(OFFSET($H$3,0,0,'Données projet'!$E$9+1,1))</f>
        <v>319.74550658573207</v>
      </c>
      <c r="T201" s="62">
        <f t="shared" si="204"/>
        <v>231.35643408122294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0.13617797137215162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3.3052974729120534E-25</v>
      </c>
      <c r="AC201" s="24">
        <f t="shared" si="163"/>
        <v>0.13617797137215162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254.64144953102331</v>
      </c>
      <c r="AO201" s="62">
        <f t="shared" si="205"/>
        <v>361.41009011468407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5.8102354132113621E-2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2.1882379040292858E-25</v>
      </c>
      <c r="AX201" s="23">
        <f t="shared" si="166"/>
        <v>5.8102354132113621E-2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352.34406861564418</v>
      </c>
      <c r="BJ201" s="62">
        <f t="shared" si="206"/>
        <v>182.40373266220317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-3.694822225952521E-13</v>
      </c>
      <c r="BZ201" s="14">
        <f>BY201*VLOOKUP('Données projet'!$B$12,Paramètres!$A$1:$I$89,3,0)*VLOOKUP('Données projet'!$B$12,Paramètres!$A$1:$I$89,5,0)</f>
        <v>-3.2277966965921228E-13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325.33012514933523</v>
      </c>
      <c r="CE201" s="62">
        <f t="shared" si="207"/>
        <v>332.38915219929675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0.17340798410503849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1.3053399375388012E-24</v>
      </c>
      <c r="CN201" s="24">
        <f t="shared" si="172"/>
        <v>0.17340798410503849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290.51637186933812</v>
      </c>
      <c r="S202" s="62">
        <f ca="1">AVERAGE(OFFSET($R$3,0,0,'Données projet'!$E$9+1,1))-AVERAGE(OFFSET($H$3,0,0,'Données projet'!$E$9+1,1))</f>
        <v>319.74550658573207</v>
      </c>
      <c r="T202" s="62">
        <f t="shared" si="204"/>
        <v>231.35643408122294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0.13350760441390475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2.3371982569348718E-25</v>
      </c>
      <c r="AC202" s="24">
        <f t="shared" si="163"/>
        <v>0.13350760441390475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254.64144953102331</v>
      </c>
      <c r="AO202" s="62">
        <f t="shared" si="205"/>
        <v>361.41009011468407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5.6963002406519588E-2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1.5473178607885456E-25</v>
      </c>
      <c r="AX202" s="23">
        <f t="shared" si="166"/>
        <v>5.6963002406519588E-2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352.34406861564418</v>
      </c>
      <c r="BJ202" s="62">
        <f t="shared" si="206"/>
        <v>182.40373266220317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-3.694822225952521E-13</v>
      </c>
      <c r="BZ202" s="14">
        <f>BY202*VLOOKUP('Données projet'!$B$12,Paramètres!$A$1:$I$89,3,0)*VLOOKUP('Données projet'!$B$12,Paramètres!$A$1:$I$89,5,0)</f>
        <v>-3.2277966965921228E-13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325.33012514933523</v>
      </c>
      <c r="CE202" s="62">
        <f t="shared" si="207"/>
        <v>332.38915219929675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0.17000755930516523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9.2301472158731071E-25</v>
      </c>
      <c r="CN202" s="24">
        <f t="shared" si="172"/>
        <v>0.17000755930516523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290.5652398529561</v>
      </c>
      <c r="S203" s="62">
        <f ca="1">AVERAGE(OFFSET($R$3,0,0,'Données projet'!$E$9+1,1))-AVERAGE(OFFSET($H$3,0,0,'Données projet'!$E$9+1,1))</f>
        <v>319.74550658573207</v>
      </c>
      <c r="T203" s="62">
        <f t="shared" si="204"/>
        <v>231.35643408122294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0.13088960172294606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1.6526487364560267E-25</v>
      </c>
      <c r="AC203" s="24">
        <f t="shared" si="163"/>
        <v>0.13088960172294606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254.64144953102331</v>
      </c>
      <c r="AO203" s="62">
        <f t="shared" si="205"/>
        <v>361.41009011468407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5.5845992673328522E-2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1.0941189520146429E-25</v>
      </c>
      <c r="AX203" s="23">
        <f t="shared" si="166"/>
        <v>5.5845992673328522E-2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352.34406861564418</v>
      </c>
      <c r="BJ203" s="62">
        <f t="shared" si="206"/>
        <v>182.40373266220317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-3.694822225952521E-13</v>
      </c>
      <c r="BZ203" s="14">
        <f>BY203*VLOOKUP('Données projet'!$B$12,Paramètres!$A$1:$I$89,3,0)*VLOOKUP('Données projet'!$B$12,Paramètres!$A$1:$I$89,5,0)</f>
        <v>-3.2277966965921228E-13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325.33012514933523</v>
      </c>
      <c r="CE203" s="62">
        <f t="shared" si="207"/>
        <v>332.38915219929675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0.16667381476156315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6.5266996876940061E-25</v>
      </c>
      <c r="CN203" s="24">
        <f t="shared" si="172"/>
        <v>0.16667381476156315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1.1932635389591795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1.8556007362580844</v>
      </c>
      <c r="BA205" s="88">
        <f>EXP(LN('Données projet'!B88)/'Données projet'!A88)</f>
        <v>1.1457367676485573</v>
      </c>
      <c r="BV205" s="88">
        <f>EXP(LN('Données projet'!B114)/'Données projet'!A114)</f>
        <v>1.2613966317002558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L22" sqref="L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4.4720000000000004</v>
      </c>
      <c r="C6" s="156">
        <f ca="1">IF(OR('Données projet'!B9="",'Données projet'!C9="",'Données projet'!C9=0%),0,Calculateur!S3)</f>
        <v>319.74550658573207</v>
      </c>
      <c r="D6" s="156">
        <f>IF(OR('Données projet'!B9="",'Données projet'!C9="",'Données projet'!C9=0%),0,Calculateur!T3)</f>
        <v>231.35643408122294</v>
      </c>
      <c r="E6" s="156">
        <f ca="1">MIN(C6,D6)</f>
        <v>231.35643408122294</v>
      </c>
      <c r="F6" s="156">
        <f ca="1">E6*B6</f>
        <v>1034.6259732112292</v>
      </c>
      <c r="G6" s="156">
        <f ca="1">F6*(100%-'Données projet'!$C$24)*(100%-'Données projet'!$C$25)*(100%-'Données projet'!$C$26)*(100%-'Données projet'!$C$27)</f>
        <v>884.60520709560092</v>
      </c>
      <c r="H6" s="157">
        <f>IF(OR('Données projet'!B9="",'Données projet'!C9="",'Données projet'!C9=0%),0,AVERAGE(Calculateur!$AC$3:$AC$33)*B6)</f>
        <v>4.5109072268239236</v>
      </c>
      <c r="I6" s="158">
        <f>H6*(100%-'Données projet'!$C$24)*(100%-'Données projet'!$C$25)*(100%-'Données projet'!$C$26)*(100%-'Données projet'!$C$27)</f>
        <v>3.856825678934455</v>
      </c>
      <c r="J6" s="159">
        <f>IF(OR('Données projet'!B9="",'Données projet'!C9="",'Données projet'!C9=0%),0,SUM(Calculateur!$V$3:$V$33)*VLOOKUP('Données projet'!$B$9,Paramètres!$A$1:$I$89,9,0)*B6)</f>
        <v>53.842880000000001</v>
      </c>
      <c r="K6" s="160">
        <f>J6*(100%-'Données projet'!$C$24)*(100%-'Données projet'!$C$25)*(100%-'Données projet'!$C$26)*(100%-'Données projet'!$C$27)</f>
        <v>46.0356624</v>
      </c>
      <c r="L6" s="161">
        <f ca="1">G6+I6+K6</f>
        <v>934.49769517453535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2.6</v>
      </c>
      <c r="C7" s="156">
        <f ca="1">IF(OR('Données projet'!B10="",'Données projet'!C10="",'Données projet'!C10=0%),0,Calculateur!AN3)</f>
        <v>254.64144953102331</v>
      </c>
      <c r="D7" s="156">
        <f>IF(OR('Données projet'!B10="",'Données projet'!C10="",'Données projet'!C10=0%),0,Calculateur!AO3)</f>
        <v>361.41009011468407</v>
      </c>
      <c r="E7" s="156">
        <f t="shared" ref="E7:E15" ca="1" si="0">MIN(C7,D7)</f>
        <v>254.64144953102331</v>
      </c>
      <c r="F7" s="156">
        <f t="shared" ref="F7:F15" ca="1" si="1">E7*B7</f>
        <v>662.06776878066069</v>
      </c>
      <c r="G7" s="156">
        <f ca="1">F7*(100%-'Données projet'!$C$24)*(100%-'Données projet'!$C$25)*(100%-'Données projet'!$C$26)*(100%-'Données projet'!$C$27)</f>
        <v>566.06794230746482</v>
      </c>
      <c r="H7" s="164">
        <f>IF(OR('Données projet'!B10="",'Données projet'!C10="",'Données projet'!C10=0%),0,AVERAGE(Calculateur!$AX$3:$AX$33)*B7)</f>
        <v>11.582698126875007</v>
      </c>
      <c r="I7" s="158">
        <f>H7*(100%-'Données projet'!$C$24)*(100%-'Données projet'!$C$25)*(100%-'Données projet'!$C$26)*(100%-'Données projet'!$C$27)</f>
        <v>9.9032068984781318</v>
      </c>
      <c r="J7" s="159">
        <f>IF(OR('Données projet'!B10="",'Données projet'!C10="",'Données projet'!C10=0%),0,SUM(Calculateur!$AQ$3:$AQ$33)*VLOOKUP('Données projet'!$B$10,Paramètres!$A$1:$I$89,9,0)*B7)</f>
        <v>35.1</v>
      </c>
      <c r="K7" s="160">
        <f>J7*(100%-'Données projet'!$C$24)*(100%-'Données projet'!$C$25)*(100%-'Données projet'!$C$26)*(100%-'Données projet'!$C$27)</f>
        <v>30.0105</v>
      </c>
      <c r="L7" s="161">
        <f t="shared" ref="L7:L15" ca="1" si="2">G7+I7+K7</f>
        <v>605.98164920594297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chevelu</v>
      </c>
      <c r="B8" s="163">
        <f>'Données projet'!D11</f>
        <v>2.6</v>
      </c>
      <c r="C8" s="156">
        <f ca="1">IF(OR('Données projet'!B11="",'Données projet'!C11="",'Données projet'!C11=0%),0,Calculateur!BI3)</f>
        <v>352.34406861564418</v>
      </c>
      <c r="D8" s="156">
        <f>IF(OR('Données projet'!B11="",'Données projet'!C11="",'Données projet'!C11=0%),0,Calculateur!BJ3)</f>
        <v>182.40373266220317</v>
      </c>
      <c r="E8" s="156">
        <f t="shared" ca="1" si="0"/>
        <v>182.40373266220317</v>
      </c>
      <c r="F8" s="156">
        <f t="shared" ca="1" si="1"/>
        <v>474.24970492172827</v>
      </c>
      <c r="G8" s="156">
        <f ca="1">F8*(100%-'Données projet'!$C$24)*(100%-'Données projet'!$C$25)*(100%-'Données projet'!$C$26)*(100%-'Données projet'!$C$27)</f>
        <v>405.48349770807766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405.48349770807766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rouge d'Amérique</v>
      </c>
      <c r="B9" s="163">
        <f>'Données projet'!D12</f>
        <v>0.72800000000000009</v>
      </c>
      <c r="C9" s="156">
        <f ca="1">IF(OR('Données projet'!B12="",'Données projet'!C12="",'Données projet'!C12=0%),0,Calculateur!CD3)</f>
        <v>325.33012514933523</v>
      </c>
      <c r="D9" s="156">
        <f>IF(OR('Données projet'!B12="",'Données projet'!C12="",'Données projet'!C12=0%),0,Calculateur!CE3)</f>
        <v>332.38915219929675</v>
      </c>
      <c r="E9" s="156">
        <f t="shared" ca="1" si="0"/>
        <v>325.33012514933523</v>
      </c>
      <c r="F9" s="156">
        <f t="shared" ca="1" si="1"/>
        <v>236.84033110871607</v>
      </c>
      <c r="G9" s="156">
        <f ca="1">F9*(100%-'Données projet'!$C$24)*(100%-'Données projet'!$C$25)*(100%-'Données projet'!$C$26)*(100%-'Données projet'!$C$27)</f>
        <v>202.49848309795223</v>
      </c>
      <c r="H9" s="164">
        <f>IF(OR('Données projet'!B12="",'Données projet'!C12="",'Données projet'!C12=0%),0,AVERAGE(Calculateur!$CN$3:$CN$33)*B9)</f>
        <v>4.499448883175786</v>
      </c>
      <c r="I9" s="158">
        <f>H9*(100%-'Données projet'!$C$24)*(100%-'Données projet'!$C$25)*(100%-'Données projet'!$C$26)*(100%-'Données projet'!$C$27)</f>
        <v>3.8470287951152975</v>
      </c>
      <c r="J9" s="159">
        <f>IF(OR('Données projet'!B12="",'Données projet'!C12="",'Données projet'!C12=0%),0,SUM(Calculateur!$CG$3:$CG$33)*VLOOKUP('Données projet'!$B$12,Paramètres!$A$1:$I$89,9,0)*B9)</f>
        <v>17.108000000000001</v>
      </c>
      <c r="K9" s="160">
        <f>J9*(100%-'Données projet'!$C$24)*(100%-'Données projet'!$C$25)*(100%-'Données projet'!$C$26)*(100%-'Données projet'!$C$27)</f>
        <v>14.62734</v>
      </c>
      <c r="L9" s="161">
        <f t="shared" ca="1" si="2"/>
        <v>220.97285189306754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2407.783778022334</v>
      </c>
      <c r="G16" s="175">
        <f t="shared" ca="1" si="3"/>
        <v>2058.6551302090957</v>
      </c>
      <c r="H16" s="176">
        <f t="shared" si="3"/>
        <v>20.593054236874714</v>
      </c>
      <c r="I16" s="176">
        <f t="shared" si="3"/>
        <v>17.607061372527884</v>
      </c>
      <c r="J16" s="177">
        <f t="shared" si="3"/>
        <v>106.05088000000001</v>
      </c>
      <c r="K16" s="177">
        <f t="shared" si="3"/>
        <v>90.673502400000004</v>
      </c>
      <c r="L16" s="178">
        <f t="shared" ca="1" si="3"/>
        <v>2166.9356939816234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chevelu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rouge d'Amérique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14" zoomScale="90" zoomScaleNormal="90" workbookViewId="0">
      <selection activeCell="S36" sqref="S3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738.32513864277894</v>
      </c>
      <c r="U10" s="190">
        <f>'Données projet'!D9</f>
        <v>4.4720000000000004</v>
      </c>
      <c r="V10" s="189">
        <f>U10*T10</f>
        <v>3301.7900200105078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574.3040723784419</v>
      </c>
      <c r="U11" s="190">
        <f>'Données projet'!D10</f>
        <v>2.6</v>
      </c>
      <c r="V11" s="189">
        <f t="shared" ref="V11" si="0">U11*T11</f>
        <v>1493.1905881839491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chevelu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390.22247897761855</v>
      </c>
      <c r="U12" s="190">
        <f>'Données projet'!D11</f>
        <v>2.6</v>
      </c>
      <c r="V12" s="189">
        <f t="shared" ref="V12:V19" si="1">U12*T12</f>
        <v>1014.5784453418082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rouge d'Amérique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1349.990948477878</v>
      </c>
      <c r="U13" s="190">
        <f>'Données projet'!D12</f>
        <v>0.72800000000000009</v>
      </c>
      <c r="V13" s="189">
        <f t="shared" si="1"/>
        <v>982.79341049189532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4180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800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800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27</v>
      </c>
      <c r="B23" s="193">
        <f>'Données projet'!D36</f>
        <v>15</v>
      </c>
      <c r="C23" s="206">
        <v>1</v>
      </c>
      <c r="D23" s="194">
        <f>B23*C23</f>
        <v>15</v>
      </c>
      <c r="E23" s="206"/>
      <c r="F23" s="261"/>
      <c r="H23" s="203">
        <v>3</v>
      </c>
      <c r="I23" s="204">
        <v>800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-62111.010292588449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13</v>
      </c>
      <c r="C24" s="206">
        <v>2</v>
      </c>
      <c r="D24" s="194">
        <f t="shared" ref="D24:D42" si="2">B24*C24</f>
        <v>26</v>
      </c>
      <c r="E24" s="206"/>
      <c r="F24" s="264"/>
      <c r="H24" s="203">
        <v>4</v>
      </c>
      <c r="I24" s="204">
        <v>150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1048130.0658271807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23</v>
      </c>
      <c r="C25" s="206">
        <v>5</v>
      </c>
      <c r="D25" s="194">
        <f t="shared" si="2"/>
        <v>115</v>
      </c>
      <c r="E25" s="206"/>
      <c r="F25" s="264"/>
      <c r="G25" s="1"/>
      <c r="H25" s="203">
        <v>5</v>
      </c>
      <c r="I25" s="204">
        <v>150</v>
      </c>
      <c r="K25" s="225"/>
      <c r="L25" s="271" t="s">
        <v>285</v>
      </c>
      <c r="M25" s="271"/>
      <c r="N25" s="271"/>
      <c r="O25" s="271"/>
      <c r="P25" s="205">
        <v>5000</v>
      </c>
      <c r="Q25" s="265"/>
      <c r="R25" s="25"/>
      <c r="S25" s="198" t="s">
        <v>266</v>
      </c>
      <c r="T25" s="341">
        <f ca="1">T23-T24</f>
        <v>-1110241.0761197691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34</v>
      </c>
      <c r="C26" s="206">
        <v>6</v>
      </c>
      <c r="D26" s="194">
        <f t="shared" si="2"/>
        <v>204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79</v>
      </c>
      <c r="C27" s="206">
        <v>9</v>
      </c>
      <c r="D27" s="194">
        <f t="shared" si="2"/>
        <v>711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60</v>
      </c>
      <c r="B28" s="193">
        <f>'Données projet'!D41</f>
        <v>88</v>
      </c>
      <c r="C28" s="206">
        <v>21</v>
      </c>
      <c r="D28" s="194">
        <f t="shared" si="2"/>
        <v>1848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70</v>
      </c>
      <c r="B29" s="193">
        <f>'Données projet'!D42</f>
        <v>78</v>
      </c>
      <c r="C29" s="206">
        <v>25</v>
      </c>
      <c r="D29" s="194">
        <f t="shared" si="2"/>
        <v>1950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80</v>
      </c>
      <c r="B30" s="193">
        <f>'Données projet'!D43</f>
        <v>460</v>
      </c>
      <c r="C30" s="206">
        <v>27</v>
      </c>
      <c r="D30" s="194">
        <f t="shared" si="2"/>
        <v>12420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100781.73709876738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5000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4784.6889952153115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4578.649756186901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4381.483020274547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4192.8067179660748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4012.2552325034208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3839.4786913908338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3674.1422884122812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3515.9256348442891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3364.5221386069757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3219.6384101502163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3080.9936939236518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2948.3193243288542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2821.3582050993818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2699.8643110998878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2583.6022115788396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2472.3466139510438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2365.8819272258793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2264.0018442352916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2166.5089418519538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2073.2142984229226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2</v>
      </c>
      <c r="C54" s="204">
        <v>6</v>
      </c>
      <c r="D54" s="191">
        <f>B54*C54</f>
        <v>12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1983.9371276774377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15</v>
      </c>
      <c r="C55" s="204">
        <v>6</v>
      </c>
      <c r="D55" s="191">
        <f t="shared" ref="D55:D73" si="4">B55*C55</f>
        <v>90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1898.5044283994628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13</v>
      </c>
      <c r="C56" s="204">
        <v>8</v>
      </c>
      <c r="D56" s="191">
        <f t="shared" si="4"/>
        <v>104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1816.7506491860886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10</v>
      </c>
      <c r="C57" s="204">
        <v>8</v>
      </c>
      <c r="D57" s="191">
        <f t="shared" si="4"/>
        <v>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1738.5173676421905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8</v>
      </c>
      <c r="C58" s="204">
        <v>11</v>
      </c>
      <c r="D58" s="191">
        <f t="shared" si="4"/>
        <v>88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1663.6529833896559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6</v>
      </c>
      <c r="C59" s="204">
        <v>11</v>
      </c>
      <c r="D59" s="191">
        <f t="shared" si="4"/>
        <v>66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1592.012424296322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5</v>
      </c>
      <c r="C60" s="204">
        <v>12</v>
      </c>
      <c r="D60" s="191">
        <f t="shared" si="4"/>
        <v>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1523.456865355332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4</v>
      </c>
      <c r="C61" s="204">
        <v>12</v>
      </c>
      <c r="D61" s="191">
        <f t="shared" si="4"/>
        <v>48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1457.8534596701745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198</v>
      </c>
      <c r="C62" s="204">
        <v>15</v>
      </c>
      <c r="D62" s="191">
        <f t="shared" si="4"/>
        <v>2970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1395.0750810240902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1335.000077535015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1277.5120359186744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1222.4995559030383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1169.8560343569748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1119.4794587148085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1071.2722092964675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1025.1408701401604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980.99604798101484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938.75219902489471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898.32746318171735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859.64350543705041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822.62536405459377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787.20130531540087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chevelu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753.30268451234531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720.86381293047407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689.82183055547762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0</v>
      </c>
      <c r="C85" s="204">
        <v>18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>
        <v>18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13</v>
      </c>
      <c r="C87" s="204">
        <v>18</v>
      </c>
      <c r="D87" s="191">
        <f t="shared" si="6"/>
        <v>234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14</v>
      </c>
      <c r="C88" s="204">
        <v>18</v>
      </c>
      <c r="D88" s="191">
        <f t="shared" si="6"/>
        <v>252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14</v>
      </c>
      <c r="C89" s="204">
        <v>18</v>
      </c>
      <c r="D89" s="191">
        <f t="shared" si="6"/>
        <v>252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14</v>
      </c>
      <c r="C90" s="204">
        <v>20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14</v>
      </c>
      <c r="C91" s="204">
        <v>20</v>
      </c>
      <c r="D91" s="191">
        <f t="shared" si="6"/>
        <v>280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14</v>
      </c>
      <c r="C92" s="204">
        <v>20</v>
      </c>
      <c r="D92" s="191">
        <f t="shared" si="6"/>
        <v>280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14</v>
      </c>
      <c r="C93" s="204">
        <v>20</v>
      </c>
      <c r="D93" s="191">
        <f t="shared" si="6"/>
        <v>280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14</v>
      </c>
      <c r="C94" s="204">
        <v>30</v>
      </c>
      <c r="D94" s="191">
        <f t="shared" si="6"/>
        <v>420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14</v>
      </c>
      <c r="C95" s="204">
        <v>30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14</v>
      </c>
      <c r="C96" s="204">
        <v>35</v>
      </c>
      <c r="D96" s="191">
        <f t="shared" si="6"/>
        <v>490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14</v>
      </c>
      <c r="C97" s="204">
        <v>35</v>
      </c>
      <c r="D97" s="191">
        <f t="shared" si="6"/>
        <v>490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14</v>
      </c>
      <c r="C98" s="204">
        <v>40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14</v>
      </c>
      <c r="C99" s="204">
        <v>40</v>
      </c>
      <c r="D99" s="191">
        <f t="shared" si="6"/>
        <v>560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13</v>
      </c>
      <c r="C100" s="204">
        <v>50</v>
      </c>
      <c r="D100" s="191">
        <f t="shared" si="6"/>
        <v>650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13</v>
      </c>
      <c r="C101" s="204">
        <v>50</v>
      </c>
      <c r="D101" s="191">
        <f t="shared" si="6"/>
        <v>650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13</v>
      </c>
      <c r="C102" s="204">
        <v>45</v>
      </c>
      <c r="D102" s="191">
        <f t="shared" si="6"/>
        <v>585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13</v>
      </c>
      <c r="C103" s="204">
        <v>45</v>
      </c>
      <c r="D103" s="191">
        <f t="shared" si="6"/>
        <v>585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221</v>
      </c>
      <c r="C104" s="204">
        <v>60</v>
      </c>
      <c r="D104" s="191">
        <f t="shared" si="6"/>
        <v>13260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rouge d'Amérique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32</v>
      </c>
      <c r="C116" s="204">
        <v>18</v>
      </c>
      <c r="D116" s="191">
        <f>B116*C116</f>
        <v>576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31</v>
      </c>
      <c r="C117" s="204">
        <v>18</v>
      </c>
      <c r="D117" s="191">
        <f t="shared" ref="D117:D135" si="8">B117*C117</f>
        <v>558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31</v>
      </c>
      <c r="C118" s="204">
        <v>18</v>
      </c>
      <c r="D118" s="191">
        <f t="shared" si="8"/>
        <v>558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30</v>
      </c>
      <c r="C119" s="204">
        <v>18</v>
      </c>
      <c r="D119" s="191">
        <f t="shared" si="8"/>
        <v>540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204">
        <v>18</v>
      </c>
      <c r="D120" s="191">
        <f t="shared" si="8"/>
        <v>504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26</v>
      </c>
      <c r="C121" s="204">
        <v>20</v>
      </c>
      <c r="D121" s="191">
        <f t="shared" si="8"/>
        <v>520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24</v>
      </c>
      <c r="C122" s="204">
        <v>20</v>
      </c>
      <c r="D122" s="191">
        <f t="shared" si="8"/>
        <v>480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21</v>
      </c>
      <c r="C123" s="204">
        <v>30</v>
      </c>
      <c r="D123" s="191">
        <f t="shared" si="8"/>
        <v>630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19</v>
      </c>
      <c r="C124" s="204">
        <v>30</v>
      </c>
      <c r="D124" s="191">
        <f t="shared" si="8"/>
        <v>570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17</v>
      </c>
      <c r="C125" s="204">
        <v>30</v>
      </c>
      <c r="D125" s="191">
        <f t="shared" si="8"/>
        <v>510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15</v>
      </c>
      <c r="C126" s="204">
        <v>40</v>
      </c>
      <c r="D126" s="191">
        <f t="shared" si="8"/>
        <v>600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13</v>
      </c>
      <c r="C127" s="204">
        <v>45</v>
      </c>
      <c r="D127" s="191">
        <f t="shared" si="8"/>
        <v>585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11</v>
      </c>
      <c r="C128" s="204">
        <v>45</v>
      </c>
      <c r="D128" s="191">
        <f t="shared" si="8"/>
        <v>495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10</v>
      </c>
      <c r="C129" s="204">
        <v>60</v>
      </c>
      <c r="D129" s="191">
        <f t="shared" si="8"/>
        <v>600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215</v>
      </c>
      <c r="C130" s="204">
        <v>60</v>
      </c>
      <c r="D130" s="191">
        <f t="shared" si="8"/>
        <v>12900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2023-01-24T16:02:29Z</dcterms:modified>
</cp:coreProperties>
</file>