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Dossier boisement Giraud\"/>
    </mc:Choice>
  </mc:AlternateContent>
  <xr:revisionPtr revIDLastSave="0" documentId="13_ncr:1_{423F2C27-FD99-48CE-A4DC-B45E417324F9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6" i="6" l="1"/>
  <c r="E265" i="6"/>
  <c r="E234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Y154" i="2"/>
  <c r="EW155" i="2"/>
  <c r="ED154" i="2"/>
  <c r="DI154" i="2"/>
  <c r="EA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D159" i="2"/>
  <c r="EC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D160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DI161" i="2"/>
  <c r="ED161" i="2"/>
  <c r="EW162" i="2"/>
  <c r="EB162" i="2"/>
  <c r="EC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R164" i="2"/>
  <c r="DI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CN165" i="2"/>
  <c r="FS166" i="2"/>
  <c r="EC166" i="2"/>
  <c r="HI166" i="2"/>
  <c r="HJ166" i="2" s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Y166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DG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ED171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ED174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DF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D184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HG186" i="2"/>
  <c r="EA186" i="2"/>
  <c r="ED185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HJ189" i="2"/>
  <c r="HH190" i="2"/>
  <c r="EW190" i="2"/>
  <c r="ED189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FQ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A194" i="2"/>
  <c r="ED193" i="2"/>
  <c r="EB194" i="2"/>
  <c r="HI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FQ195" i="2"/>
  <c r="HG195" i="2"/>
  <c r="EY194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J199" i="2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H201" i="2" l="1"/>
  <c r="HG201" i="2"/>
  <c r="FS201" i="2"/>
  <c r="DI200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ED201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32" i="2" a="1"/>
  <c r="FY32" i="2" s="1"/>
  <c r="FY146" i="2" a="1"/>
  <c r="FY146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29" i="2" a="1"/>
  <c r="EI29" i="2" s="1"/>
  <c r="EI178" i="2" a="1"/>
  <c r="EI178" i="2" s="1"/>
  <c r="DN155" i="2" a="1"/>
  <c r="DN155" i="2" s="1"/>
  <c r="DN124" i="2" a="1"/>
  <c r="DN124" i="2" s="1"/>
  <c r="CS129" i="2" a="1"/>
  <c r="CS129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DN103" i="2" a="1"/>
  <c r="DN103" i="2" s="1"/>
  <c r="DN114" i="2" a="1"/>
  <c r="DN114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6" i="2" a="1"/>
  <c r="EI36" i="2" s="1"/>
  <c r="EI34" i="2" a="1"/>
  <c r="EI34" i="2" s="1"/>
  <c r="EI16" i="2" a="1"/>
  <c r="EI16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63" i="2" a="1"/>
  <c r="AH163" i="2" s="1"/>
  <c r="AH62" i="2" a="1"/>
  <c r="AH62" i="2" s="1"/>
  <c r="GT181" i="2" a="1"/>
  <c r="GT181" i="2" s="1"/>
  <c r="EI113" i="2" a="1"/>
  <c r="EI113" i="2" s="1"/>
  <c r="EI165" i="2" a="1"/>
  <c r="EI165" i="2" s="1"/>
  <c r="EI87" i="2" a="1"/>
  <c r="EI87" i="2" s="1"/>
  <c r="EI145" i="2" a="1"/>
  <c r="EI145" i="2" s="1"/>
  <c r="EI106" i="2" a="1"/>
  <c r="EI106" i="2" s="1"/>
  <c r="EI139" i="2" a="1"/>
  <c r="EI139" i="2" s="1"/>
  <c r="EI67" i="2" a="1"/>
  <c r="EI67" i="2" s="1"/>
  <c r="EI128" i="2" a="1"/>
  <c r="EI128" i="2" s="1"/>
  <c r="EI71" i="2" a="1"/>
  <c r="EI71" i="2" s="1"/>
  <c r="EI109" i="2" a="1"/>
  <c r="EI109" i="2" s="1"/>
  <c r="EI162" i="2" a="1"/>
  <c r="EI162" i="2" s="1"/>
  <c r="EI153" i="2" a="1"/>
  <c r="EI153" i="2" s="1"/>
  <c r="EI170" i="2" a="1"/>
  <c r="EI170" i="2" s="1"/>
  <c r="EI20" i="2" a="1"/>
  <c r="EI20" i="2" s="1"/>
  <c r="EI57" i="2" a="1"/>
  <c r="EI57" i="2" s="1"/>
  <c r="EI38" i="2" a="1"/>
  <c r="EI38" i="2" s="1"/>
  <c r="EI195" i="2" a="1"/>
  <c r="EI195" i="2" s="1"/>
  <c r="EI142" i="2" a="1"/>
  <c r="EI142" i="2" s="1"/>
  <c r="EI150" i="2" a="1"/>
  <c r="EI150" i="2" s="1"/>
  <c r="EI166" i="2" a="1"/>
  <c r="EI166" i="2" s="1"/>
  <c r="CS24" i="2" a="1"/>
  <c r="CS24" i="2" s="1"/>
  <c r="CS120" i="2" a="1"/>
  <c r="CS120" i="2" s="1"/>
  <c r="CS105" i="2" a="1"/>
  <c r="CS105" i="2" s="1"/>
  <c r="CS137" i="2" a="1"/>
  <c r="CS137" i="2" s="1"/>
  <c r="CS52" i="2" a="1"/>
  <c r="CS52" i="2" s="1"/>
  <c r="CS114" i="2" a="1"/>
  <c r="CS114" i="2" s="1"/>
  <c r="CS56" i="2" a="1"/>
  <c r="CS56" i="2" s="1"/>
  <c r="CS161" i="2" a="1"/>
  <c r="CS161" i="2" s="1"/>
  <c r="CS77" i="2" a="1"/>
  <c r="CS77" i="2" s="1"/>
  <c r="CS72" i="2" a="1"/>
  <c r="CS72" i="2" s="1"/>
  <c r="CS66" i="2" a="1"/>
  <c r="CS66" i="2" s="1"/>
  <c r="HH203" i="2"/>
  <c r="FY165" i="2" a="1"/>
  <c r="FY165" i="2" s="1"/>
  <c r="FY50" i="2" a="1"/>
  <c r="FY50" i="2" s="1"/>
  <c r="FY140" i="2" a="1"/>
  <c r="FY140" i="2" s="1"/>
  <c r="FY29" i="2" a="1"/>
  <c r="FY29" i="2" s="1"/>
  <c r="FY35" i="2" a="1"/>
  <c r="FY35" i="2" s="1"/>
  <c r="FY54" i="2" a="1"/>
  <c r="FY54" i="2" s="1"/>
  <c r="FY109" i="2" a="1"/>
  <c r="FY109" i="2" s="1"/>
  <c r="FY79" i="2" a="1"/>
  <c r="FY79" i="2" s="1"/>
  <c r="FY22" i="2" a="1"/>
  <c r="FY22" i="2" s="1"/>
  <c r="FY90" i="2" a="1"/>
  <c r="FY90" i="2" s="1"/>
  <c r="FY57" i="2" a="1"/>
  <c r="FY57" i="2" s="1"/>
  <c r="EI198" i="2" a="1"/>
  <c r="EI198" i="2" s="1"/>
  <c r="DN186" i="2" a="1"/>
  <c r="DN186" i="2" s="1"/>
  <c r="BC55" i="2" a="1"/>
  <c r="BC55" i="2" s="1"/>
  <c r="BC32" i="2" a="1"/>
  <c r="BC32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DI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60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09" i="2" l="1"/>
  <c r="GZ200" i="2"/>
  <c r="GZ149" i="2"/>
  <c r="GZ141" i="2"/>
  <c r="GZ35" i="2"/>
  <c r="GZ196" i="2"/>
  <c r="GZ97" i="2"/>
  <c r="GZ29" i="2"/>
  <c r="GZ119" i="2"/>
  <c r="GZ111" i="2"/>
  <c r="GZ178" i="2"/>
  <c r="GZ125" i="2"/>
  <c r="GZ83" i="2"/>
  <c r="GZ73" i="2"/>
  <c r="GZ55" i="2"/>
  <c r="GZ14" i="2"/>
  <c r="GZ69" i="2"/>
  <c r="GZ50" i="2"/>
  <c r="GZ165" i="2"/>
  <c r="GZ156" i="2"/>
  <c r="GZ40" i="2"/>
  <c r="GZ197" i="2"/>
  <c r="GZ103" i="2"/>
  <c r="GZ25" i="2"/>
  <c r="GZ110" i="2"/>
  <c r="GZ167" i="2"/>
  <c r="GZ93" i="2"/>
  <c r="GZ91" i="2"/>
  <c r="GZ170" i="2"/>
  <c r="GZ120" i="2"/>
  <c r="GZ64" i="2"/>
  <c r="GZ89" i="2"/>
  <c r="GZ151" i="2"/>
  <c r="GZ5" i="2"/>
  <c r="GZ66" i="2"/>
  <c r="GZ108" i="2"/>
  <c r="GZ114" i="2"/>
  <c r="GZ13" i="2"/>
  <c r="GZ150" i="2"/>
  <c r="GZ54" i="2"/>
  <c r="GZ174" i="2"/>
  <c r="GZ17" i="2"/>
  <c r="GZ192" i="2"/>
  <c r="GZ107" i="2"/>
  <c r="GZ187" i="2"/>
  <c r="GZ177" i="2"/>
  <c r="GZ143" i="2"/>
  <c r="GZ137" i="2"/>
  <c r="GZ100" i="2"/>
  <c r="GZ129" i="2"/>
  <c r="GZ116" i="2"/>
  <c r="GZ85" i="2"/>
  <c r="GZ81" i="2"/>
  <c r="GZ105" i="2"/>
  <c r="GZ171" i="2"/>
  <c r="GZ62" i="2"/>
  <c r="GZ60" i="2"/>
  <c r="GZ155" i="2"/>
  <c r="GZ202" i="2"/>
  <c r="GZ142" i="2"/>
  <c r="GZ139" i="2"/>
  <c r="GZ8" i="2"/>
  <c r="GZ80" i="2"/>
  <c r="GZ169" i="2"/>
  <c r="GZ172" i="2"/>
  <c r="GZ195" i="2"/>
  <c r="GZ12" i="2"/>
  <c r="GZ185" i="2"/>
  <c r="GZ88" i="2"/>
  <c r="GZ180" i="2"/>
  <c r="GZ124" i="2"/>
  <c r="GZ96" i="2"/>
  <c r="GZ168" i="2"/>
  <c r="GZ161" i="2"/>
  <c r="GZ18" i="2"/>
  <c r="GZ71" i="2"/>
  <c r="GZ128" i="2"/>
  <c r="GZ32" i="2"/>
  <c r="GZ176" i="2"/>
  <c r="GZ158" i="2"/>
  <c r="GZ198" i="2"/>
  <c r="GZ99" i="2"/>
  <c r="GZ146" i="2"/>
  <c r="GZ157" i="2"/>
  <c r="GZ145" i="2"/>
  <c r="GZ27" i="2"/>
  <c r="GZ28" i="2"/>
  <c r="GZ140" i="2"/>
  <c r="GZ45" i="2"/>
  <c r="GZ191" i="2"/>
  <c r="GZ75" i="2"/>
  <c r="GZ184" i="2"/>
  <c r="GZ121" i="2"/>
  <c r="GZ10" i="2"/>
  <c r="GZ127" i="2"/>
  <c r="GZ65" i="2"/>
  <c r="GZ7" i="2"/>
  <c r="GZ34" i="2"/>
  <c r="GZ51" i="2"/>
  <c r="GZ182" i="2"/>
  <c r="GZ166" i="2"/>
  <c r="GZ9" i="2"/>
  <c r="GZ43" i="2"/>
  <c r="GZ201" i="2"/>
  <c r="GZ78" i="2"/>
  <c r="GZ74" i="2"/>
  <c r="GZ135" i="2"/>
  <c r="GZ53" i="2"/>
  <c r="GZ94" i="2"/>
  <c r="GZ190" i="2"/>
  <c r="GZ37" i="2"/>
  <c r="GZ52" i="2"/>
  <c r="GZ59" i="2"/>
  <c r="GZ95" i="2"/>
  <c r="GZ70" i="2"/>
  <c r="GZ68" i="2"/>
  <c r="GZ15" i="2"/>
  <c r="GZ144" i="2"/>
  <c r="GZ56" i="2"/>
  <c r="GZ57" i="2"/>
  <c r="GZ118" i="2"/>
  <c r="GZ175" i="2"/>
  <c r="GZ203" i="2"/>
  <c r="GZ41" i="2"/>
  <c r="GZ148" i="2"/>
  <c r="GZ47" i="2"/>
  <c r="GZ42" i="2"/>
  <c r="GZ131" i="2"/>
  <c r="GZ117" i="2"/>
  <c r="GZ61" i="2"/>
  <c r="GZ92" i="2"/>
  <c r="GZ16" i="2"/>
  <c r="GZ153" i="2"/>
  <c r="GZ188" i="2"/>
  <c r="GZ84" i="2"/>
  <c r="GZ90" i="2"/>
  <c r="GZ147" i="2"/>
  <c r="GZ72" i="2"/>
  <c r="GZ133" i="2"/>
  <c r="GZ136" i="2"/>
  <c r="GZ67" i="2"/>
  <c r="GZ159" i="2"/>
  <c r="GZ31" i="2"/>
  <c r="GZ24" i="2"/>
  <c r="GZ82" i="2"/>
  <c r="GZ79" i="2"/>
  <c r="GZ76" i="2"/>
  <c r="GZ126" i="2"/>
  <c r="GZ154" i="2"/>
  <c r="GZ152" i="2"/>
  <c r="GZ20" i="2"/>
  <c r="GZ102" i="2"/>
  <c r="GZ77" i="2"/>
  <c r="GZ48" i="2"/>
  <c r="GZ19" i="2"/>
  <c r="GZ36" i="2"/>
  <c r="GZ122" i="2"/>
  <c r="GZ11" i="2"/>
  <c r="GZ4" i="2"/>
  <c r="GZ39" i="2"/>
  <c r="GZ123" i="2"/>
  <c r="GZ193" i="2"/>
  <c r="GZ138" i="2"/>
  <c r="GZ134" i="2"/>
  <c r="GZ132" i="2"/>
  <c r="GZ162" i="2"/>
  <c r="GZ21" i="2"/>
  <c r="GZ164" i="2"/>
  <c r="GZ194" i="2"/>
  <c r="GZ199" i="2"/>
  <c r="GZ163" i="2"/>
  <c r="GZ23" i="2"/>
  <c r="GZ160" i="2"/>
  <c r="GZ189" i="2"/>
  <c r="GZ26" i="2"/>
  <c r="GZ44" i="2"/>
  <c r="GZ6" i="2"/>
  <c r="GZ113" i="2"/>
  <c r="GZ101" i="2"/>
  <c r="GZ106" i="2"/>
  <c r="GZ104" i="2"/>
  <c r="GZ98" i="2"/>
  <c r="GZ179" i="2"/>
  <c r="GZ86" i="2"/>
  <c r="GZ115" i="2"/>
  <c r="GZ130" i="2"/>
  <c r="GZ112" i="2"/>
  <c r="GZ181" i="2"/>
  <c r="GZ22" i="2"/>
  <c r="GZ63" i="2"/>
  <c r="GZ186" i="2"/>
  <c r="GZ183" i="2"/>
  <c r="GZ173" i="2"/>
  <c r="GZ87" i="2"/>
  <c r="GZ58" i="2"/>
  <c r="GZ46" i="2"/>
  <c r="GZ38" i="2"/>
  <c r="GZ30" i="2"/>
  <c r="GZ49" i="2"/>
  <c r="GZ33" i="2"/>
  <c r="GZ3" i="2"/>
  <c r="C15" i="4" s="1"/>
  <c r="E15" i="4" s="1"/>
  <c r="F15" i="4" s="1"/>
  <c r="G15" i="4" s="1"/>
  <c r="L15" i="4" s="1"/>
  <c r="FJ198" i="2"/>
  <c r="FJ42" i="2"/>
  <c r="FJ31" i="2"/>
  <c r="FJ54" i="2"/>
  <c r="FJ180" i="2"/>
  <c r="FJ35" i="2"/>
  <c r="FJ134" i="2"/>
  <c r="FJ43" i="2"/>
  <c r="FJ68" i="2"/>
  <c r="FJ169" i="2"/>
  <c r="FJ144" i="2"/>
  <c r="FJ22" i="2"/>
  <c r="FJ103" i="2"/>
  <c r="FJ162" i="2"/>
  <c r="FJ57" i="2"/>
  <c r="FJ18" i="2"/>
  <c r="FJ181" i="2"/>
  <c r="FJ141" i="2"/>
  <c r="FJ172" i="2"/>
  <c r="FJ139" i="2"/>
  <c r="FJ80" i="2"/>
  <c r="FJ130" i="2"/>
  <c r="FJ200" i="2"/>
  <c r="FJ49" i="2"/>
  <c r="FJ33" i="2"/>
  <c r="FJ173" i="2"/>
  <c r="FJ25" i="2"/>
  <c r="FJ109" i="2"/>
  <c r="FJ38" i="2"/>
  <c r="FJ125" i="2"/>
  <c r="FJ176" i="2"/>
  <c r="FJ98" i="2"/>
  <c r="FJ100" i="2"/>
  <c r="FJ129" i="2"/>
  <c r="FJ133" i="2"/>
  <c r="FJ12" i="2"/>
  <c r="FJ126" i="2"/>
  <c r="FJ186" i="2"/>
  <c r="FJ97" i="2"/>
  <c r="FJ63" i="2"/>
  <c r="FJ53" i="2"/>
  <c r="FJ50" i="2"/>
  <c r="FJ197" i="2"/>
  <c r="FJ37" i="2"/>
  <c r="FJ4" i="2"/>
  <c r="FJ76" i="2"/>
  <c r="FJ84" i="2"/>
  <c r="FJ155" i="2"/>
  <c r="FJ73" i="2"/>
  <c r="FJ81" i="2"/>
  <c r="FJ6" i="2"/>
  <c r="FJ189" i="2"/>
  <c r="FJ106" i="2"/>
  <c r="FJ9" i="2"/>
  <c r="FJ29" i="2"/>
  <c r="FJ114" i="2"/>
  <c r="FJ69" i="2"/>
  <c r="FJ72" i="2"/>
  <c r="FJ199" i="2"/>
  <c r="FJ158" i="2"/>
  <c r="FJ45" i="2"/>
  <c r="FJ136" i="2"/>
  <c r="FJ165" i="2"/>
  <c r="FJ79" i="2"/>
  <c r="FJ83" i="2"/>
  <c r="FJ86" i="2"/>
  <c r="FJ13" i="2"/>
  <c r="FJ34" i="2"/>
  <c r="FJ51" i="2"/>
  <c r="FJ5" i="2"/>
  <c r="FJ175" i="2"/>
  <c r="FJ118" i="2"/>
  <c r="FJ104" i="2"/>
  <c r="FJ127" i="2"/>
  <c r="FJ14" i="2"/>
  <c r="FJ123" i="2"/>
  <c r="FJ113" i="2"/>
  <c r="FJ110" i="2"/>
  <c r="FJ77" i="2"/>
  <c r="FJ168" i="2"/>
  <c r="FJ96" i="2"/>
  <c r="FJ184" i="2"/>
  <c r="FJ145" i="2"/>
  <c r="FJ19" i="2"/>
  <c r="FJ71" i="2"/>
  <c r="FJ16" i="2"/>
  <c r="FJ174" i="2"/>
  <c r="FJ192" i="2"/>
  <c r="FJ159" i="2"/>
  <c r="FJ183" i="2"/>
  <c r="FJ7" i="2"/>
  <c r="FJ28" i="2"/>
  <c r="FJ58" i="2"/>
  <c r="FJ64" i="2"/>
  <c r="FJ170" i="2"/>
  <c r="FJ89" i="2"/>
  <c r="FJ150" i="2"/>
  <c r="FJ32" i="2"/>
  <c r="FJ15" i="2"/>
  <c r="FJ105" i="2"/>
  <c r="FJ24" i="2"/>
  <c r="FJ11" i="2"/>
  <c r="FJ82" i="2"/>
  <c r="FJ128" i="2"/>
  <c r="FJ23" i="2"/>
  <c r="FJ67" i="2"/>
  <c r="FJ153" i="2"/>
  <c r="FJ94" i="2"/>
  <c r="FJ143" i="2"/>
  <c r="FJ121" i="2"/>
  <c r="FJ161" i="2"/>
  <c r="FJ154" i="2"/>
  <c r="FJ75" i="2"/>
  <c r="FJ39" i="2"/>
  <c r="FJ44" i="2"/>
  <c r="FJ115" i="2"/>
  <c r="FJ91" i="2"/>
  <c r="FJ147" i="2"/>
  <c r="FJ135" i="2"/>
  <c r="FJ56" i="2"/>
  <c r="FJ120" i="2"/>
  <c r="FJ99" i="2"/>
  <c r="FJ3" i="2"/>
  <c r="C13" i="4" s="1"/>
  <c r="E13" i="4" s="1"/>
  <c r="F13" i="4" s="1"/>
  <c r="G13" i="4" s="1"/>
  <c r="L13" i="4" s="1"/>
  <c r="FJ48" i="2"/>
  <c r="FJ47" i="2"/>
  <c r="FJ17" i="2"/>
  <c r="FJ8" i="2"/>
  <c r="FJ108" i="2"/>
  <c r="FJ195" i="2"/>
  <c r="FJ59" i="2"/>
  <c r="FJ142" i="2"/>
  <c r="FJ203" i="2"/>
  <c r="FJ85" i="2"/>
  <c r="FJ62" i="2"/>
  <c r="FJ78" i="2"/>
  <c r="FJ55" i="2"/>
  <c r="FJ90" i="2"/>
  <c r="FJ171" i="2"/>
  <c r="FJ117" i="2"/>
  <c r="FJ40" i="2"/>
  <c r="FJ116" i="2"/>
  <c r="FJ193" i="2"/>
  <c r="FJ152" i="2"/>
  <c r="FJ119" i="2"/>
  <c r="FJ185" i="2"/>
  <c r="FJ187" i="2"/>
  <c r="FJ132" i="2"/>
  <c r="FJ166" i="2"/>
  <c r="FJ88" i="2"/>
  <c r="FJ148" i="2"/>
  <c r="FJ177" i="2"/>
  <c r="FJ30" i="2"/>
  <c r="FJ201" i="2"/>
  <c r="FJ112" i="2"/>
  <c r="FJ188" i="2"/>
  <c r="FJ182" i="2"/>
  <c r="FJ191" i="2"/>
  <c r="FJ95" i="2"/>
  <c r="FJ149" i="2"/>
  <c r="FJ164" i="2"/>
  <c r="FJ137" i="2"/>
  <c r="FJ156" i="2"/>
  <c r="FJ70" i="2"/>
  <c r="FJ27" i="2"/>
  <c r="FJ52" i="2"/>
  <c r="FJ194" i="2"/>
  <c r="FJ140" i="2"/>
  <c r="FJ65" i="2"/>
  <c r="FJ21" i="2"/>
  <c r="FJ20" i="2"/>
  <c r="FJ10" i="2"/>
  <c r="FJ74" i="2"/>
  <c r="FJ101" i="2"/>
  <c r="FJ190" i="2"/>
  <c r="FJ93" i="2"/>
  <c r="FJ111" i="2"/>
  <c r="FJ151" i="2"/>
  <c r="FJ124" i="2"/>
  <c r="FJ46" i="2"/>
  <c r="FJ102" i="2"/>
  <c r="FJ146" i="2"/>
  <c r="FJ66" i="2"/>
  <c r="FJ179" i="2"/>
  <c r="FJ26" i="2"/>
  <c r="FJ92" i="2"/>
  <c r="FJ178" i="2"/>
  <c r="FJ163" i="2"/>
  <c r="FJ160" i="2"/>
  <c r="FJ131" i="2"/>
  <c r="FJ41" i="2"/>
  <c r="FJ167" i="2"/>
  <c r="FJ107" i="2"/>
  <c r="FJ61" i="2"/>
  <c r="FJ157" i="2"/>
  <c r="FJ138" i="2"/>
  <c r="FJ196" i="2"/>
  <c r="FJ202" i="2"/>
  <c r="FJ122" i="2"/>
  <c r="FJ36" i="2"/>
  <c r="FJ87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24" i="2" l="1"/>
  <c r="CY137" i="2"/>
  <c r="CY40" i="2"/>
  <c r="CY96" i="2"/>
  <c r="CY79" i="2"/>
  <c r="CY67" i="2"/>
  <c r="CY44" i="2"/>
  <c r="CY4" i="2"/>
  <c r="CY198" i="2"/>
  <c r="CY56" i="2"/>
  <c r="CY113" i="2"/>
  <c r="CY83" i="2"/>
  <c r="CY159" i="2"/>
  <c r="CY23" i="2"/>
  <c r="CY20" i="2"/>
  <c r="CY57" i="2"/>
  <c r="CY203" i="2"/>
  <c r="CY196" i="2"/>
  <c r="CY95" i="2"/>
  <c r="CY134" i="2"/>
  <c r="CY143" i="2"/>
  <c r="CY188" i="2"/>
  <c r="CY92" i="2"/>
  <c r="CY111" i="2"/>
  <c r="CY114" i="2"/>
  <c r="CY31" i="2"/>
  <c r="CY162" i="2"/>
  <c r="CY46" i="2"/>
  <c r="CY82" i="2"/>
  <c r="CY192" i="2"/>
  <c r="CY122" i="2"/>
  <c r="CY167" i="2"/>
  <c r="CY201" i="2"/>
  <c r="CY152" i="2"/>
  <c r="CY17" i="2"/>
  <c r="CY71" i="2"/>
  <c r="CY172" i="2"/>
  <c r="CY149" i="2"/>
  <c r="CY155" i="2"/>
  <c r="CY179" i="2"/>
  <c r="CY140" i="2"/>
  <c r="CY70" i="2"/>
  <c r="CY147" i="2"/>
  <c r="CY50" i="2"/>
  <c r="CY199" i="2"/>
  <c r="CY154" i="2"/>
  <c r="CY32" i="2"/>
  <c r="CY165" i="2"/>
  <c r="CY27" i="2"/>
  <c r="CY34" i="2"/>
  <c r="CY18" i="2"/>
  <c r="CY163" i="2"/>
  <c r="CY61" i="2"/>
  <c r="CY52" i="2"/>
  <c r="CY103" i="2"/>
  <c r="CY78" i="2"/>
  <c r="CY106" i="2"/>
  <c r="CY153" i="2"/>
  <c r="CY190" i="2"/>
  <c r="CY43" i="2"/>
  <c r="CY195" i="2"/>
  <c r="CY6" i="2"/>
  <c r="CY138" i="2"/>
  <c r="CY63" i="2"/>
  <c r="CY136" i="2"/>
  <c r="CY161" i="2"/>
  <c r="CY197" i="2"/>
  <c r="CY5" i="2"/>
  <c r="CY120" i="2"/>
  <c r="CY13" i="2"/>
  <c r="CY62" i="2"/>
  <c r="CY132" i="2"/>
  <c r="CY87" i="2"/>
  <c r="CY88" i="2"/>
  <c r="CY47" i="2"/>
  <c r="CY129" i="2"/>
  <c r="CY115" i="2"/>
  <c r="CY156" i="2"/>
  <c r="CY118" i="2"/>
  <c r="CY53" i="2"/>
  <c r="CY166" i="2"/>
  <c r="CY100" i="2"/>
  <c r="CY148" i="2"/>
  <c r="CY48" i="2"/>
  <c r="CY91" i="2"/>
  <c r="CY202" i="2"/>
  <c r="CY22" i="2"/>
  <c r="CY170" i="2"/>
  <c r="CY183" i="2"/>
  <c r="CY121" i="2"/>
  <c r="CY178" i="2"/>
  <c r="CY145" i="2"/>
  <c r="CY133" i="2"/>
  <c r="CY45" i="2"/>
  <c r="CY75" i="2"/>
  <c r="CY144" i="2"/>
  <c r="CY59" i="2"/>
  <c r="CY200" i="2"/>
  <c r="CY127" i="2"/>
  <c r="CY12" i="2"/>
  <c r="CY97" i="2"/>
  <c r="CY94" i="2"/>
  <c r="CY181" i="2"/>
  <c r="CY184" i="2"/>
  <c r="CY10" i="2"/>
  <c r="CY11" i="2"/>
  <c r="CY85" i="2"/>
  <c r="CY86" i="2"/>
  <c r="CY146" i="2"/>
  <c r="CY90" i="2"/>
  <c r="CY89" i="2"/>
  <c r="CY66" i="2"/>
  <c r="CY93" i="2"/>
  <c r="CY125" i="2"/>
  <c r="CY173" i="2"/>
  <c r="CY25" i="2"/>
  <c r="CY110" i="2"/>
  <c r="CY74" i="2"/>
  <c r="CY51" i="2"/>
  <c r="CY171" i="2"/>
  <c r="CY37" i="2"/>
  <c r="CY107" i="2"/>
  <c r="CY14" i="2"/>
  <c r="CY176" i="2"/>
  <c r="CY35" i="2"/>
  <c r="CY49" i="2"/>
  <c r="CY135" i="2"/>
  <c r="CY73" i="2"/>
  <c r="CY15" i="2"/>
  <c r="CY69" i="2"/>
  <c r="CY119" i="2"/>
  <c r="CY105" i="2"/>
  <c r="CY168" i="2"/>
  <c r="CY98" i="2"/>
  <c r="CY191" i="2"/>
  <c r="CY33" i="2"/>
  <c r="CY123" i="2"/>
  <c r="CY3" i="2"/>
  <c r="C10" i="4" s="1"/>
  <c r="E10" i="4" s="1"/>
  <c r="F10" i="4" s="1"/>
  <c r="G10" i="4" s="1"/>
  <c r="L10" i="4" s="1"/>
  <c r="CY104" i="2"/>
  <c r="CY194" i="2"/>
  <c r="CY128" i="2"/>
  <c r="CY180" i="2"/>
  <c r="CY30" i="2"/>
  <c r="CY54" i="2"/>
  <c r="CY65" i="2"/>
  <c r="CY177" i="2"/>
  <c r="CY175" i="2"/>
  <c r="CY124" i="2"/>
  <c r="CY189" i="2"/>
  <c r="CY39" i="2"/>
  <c r="CY21" i="2"/>
  <c r="CY151" i="2"/>
  <c r="CY169" i="2"/>
  <c r="CY42" i="2"/>
  <c r="CY60" i="2"/>
  <c r="CY117" i="2"/>
  <c r="CY108" i="2"/>
  <c r="CY36" i="2"/>
  <c r="CY80" i="2"/>
  <c r="CY186" i="2"/>
  <c r="CY142" i="2"/>
  <c r="CY101" i="2"/>
  <c r="CY102" i="2"/>
  <c r="CY72" i="2"/>
  <c r="CY99" i="2"/>
  <c r="CY29" i="2"/>
  <c r="CY131" i="2"/>
  <c r="CY141" i="2"/>
  <c r="CY187" i="2"/>
  <c r="CY19" i="2"/>
  <c r="CY160" i="2"/>
  <c r="CY28" i="2"/>
  <c r="CY8" i="2"/>
  <c r="CY185" i="2"/>
  <c r="CY126" i="2"/>
  <c r="CY182" i="2"/>
  <c r="CY130" i="2"/>
  <c r="CY64" i="2"/>
  <c r="CY41" i="2"/>
  <c r="CY116" i="2"/>
  <c r="CY164" i="2"/>
  <c r="CY81" i="2"/>
  <c r="CY193" i="2"/>
  <c r="CY109" i="2"/>
  <c r="CY9" i="2"/>
  <c r="CY26" i="2"/>
  <c r="CY157" i="2"/>
  <c r="CY58" i="2"/>
  <c r="CY77" i="2"/>
  <c r="CY84" i="2"/>
  <c r="CY68" i="2"/>
  <c r="CY38" i="2"/>
  <c r="CY174" i="2"/>
  <c r="CY16" i="2"/>
  <c r="CY7" i="2"/>
  <c r="CY55" i="2"/>
  <c r="CY76" i="2"/>
  <c r="CY139" i="2"/>
  <c r="CY112" i="2"/>
  <c r="CY150" i="2"/>
  <c r="CY158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E11" i="2" l="1"/>
  <c r="GE130" i="2"/>
  <c r="GE194" i="2"/>
  <c r="GE79" i="2"/>
  <c r="GE133" i="2"/>
  <c r="GE170" i="2"/>
  <c r="GE41" i="2"/>
  <c r="GE3" i="2"/>
  <c r="C14" i="4" s="1"/>
  <c r="E14" i="4" s="1"/>
  <c r="F14" i="4" s="1"/>
  <c r="G14" i="4" s="1"/>
  <c r="L14" i="4" s="1"/>
  <c r="GE172" i="2"/>
  <c r="GE78" i="2"/>
  <c r="GE108" i="2"/>
  <c r="GE168" i="2"/>
  <c r="GE173" i="2"/>
  <c r="GE93" i="2"/>
  <c r="GE29" i="2"/>
  <c r="GE20" i="2"/>
  <c r="GE131" i="2"/>
  <c r="GE61" i="2"/>
  <c r="GE75" i="2"/>
  <c r="GE97" i="2"/>
  <c r="GE107" i="2"/>
  <c r="GE80" i="2"/>
  <c r="GE105" i="2"/>
  <c r="GE66" i="2"/>
  <c r="GE31" i="2"/>
  <c r="GE86" i="2"/>
  <c r="GE167" i="2"/>
  <c r="GE43" i="2"/>
  <c r="GE12" i="2"/>
  <c r="GE203" i="2"/>
  <c r="GE19" i="2"/>
  <c r="GE73" i="2"/>
  <c r="GE145" i="2"/>
  <c r="GE124" i="2"/>
  <c r="GE71" i="2"/>
  <c r="GE92" i="2"/>
  <c r="GE70" i="2"/>
  <c r="GE60" i="2"/>
  <c r="GE10" i="2"/>
  <c r="GE59" i="2"/>
  <c r="GE152" i="2"/>
  <c r="GE58" i="2"/>
  <c r="GE16" i="2"/>
  <c r="GE162" i="2"/>
  <c r="GE200" i="2"/>
  <c r="GE154" i="2"/>
  <c r="GE14" i="2"/>
  <c r="GE158" i="2"/>
  <c r="GE42" i="2"/>
  <c r="GE99" i="2"/>
  <c r="GE140" i="2"/>
  <c r="GE115" i="2"/>
  <c r="GE199" i="2"/>
  <c r="GE180" i="2"/>
  <c r="GE101" i="2"/>
  <c r="GE119" i="2"/>
  <c r="GE74" i="2"/>
  <c r="GE64" i="2"/>
  <c r="GE202" i="2"/>
  <c r="GE201" i="2"/>
  <c r="GE8" i="2"/>
  <c r="GE142" i="2"/>
  <c r="GE51" i="2"/>
  <c r="GE157" i="2"/>
  <c r="GE153" i="2"/>
  <c r="GE163" i="2"/>
  <c r="GE192" i="2"/>
  <c r="GE34" i="2"/>
  <c r="GE169" i="2"/>
  <c r="GE165" i="2"/>
  <c r="GE110" i="2"/>
  <c r="GE83" i="2"/>
  <c r="GE5" i="2"/>
  <c r="GE53" i="2"/>
  <c r="GE150" i="2"/>
  <c r="GE190" i="2"/>
  <c r="GE22" i="2"/>
  <c r="GE155" i="2"/>
  <c r="GE179" i="2"/>
  <c r="GE160" i="2"/>
  <c r="GE106" i="2"/>
  <c r="GE102" i="2"/>
  <c r="GE171" i="2"/>
  <c r="GE50" i="2"/>
  <c r="GE183" i="2"/>
  <c r="GE85" i="2"/>
  <c r="GE109" i="2"/>
  <c r="GE176" i="2"/>
  <c r="GE49" i="2"/>
  <c r="GE197" i="2"/>
  <c r="GE113" i="2"/>
  <c r="GE65" i="2"/>
  <c r="GE135" i="2"/>
  <c r="GE177" i="2"/>
  <c r="GE175" i="2"/>
  <c r="GE181" i="2"/>
  <c r="GE32" i="2"/>
  <c r="GE13" i="2"/>
  <c r="GE23" i="2"/>
  <c r="GE52" i="2"/>
  <c r="GE104" i="2"/>
  <c r="GE146" i="2"/>
  <c r="GE188" i="2"/>
  <c r="GE72" i="2"/>
  <c r="GE28" i="2"/>
  <c r="GE182" i="2"/>
  <c r="GE82" i="2"/>
  <c r="GE9" i="2"/>
  <c r="GE40" i="2"/>
  <c r="GE95" i="2"/>
  <c r="GE166" i="2"/>
  <c r="GE174" i="2"/>
  <c r="GE149" i="2"/>
  <c r="GE123" i="2"/>
  <c r="GE117" i="2"/>
  <c r="GE44" i="2"/>
  <c r="GE45" i="2"/>
  <c r="GE186" i="2"/>
  <c r="GE15" i="2"/>
  <c r="GE24" i="2"/>
  <c r="GE191" i="2"/>
  <c r="GE147" i="2"/>
  <c r="GE68" i="2"/>
  <c r="GE84" i="2"/>
  <c r="GE69" i="2"/>
  <c r="GE116" i="2"/>
  <c r="GE126" i="2"/>
  <c r="GE156" i="2"/>
  <c r="GE178" i="2"/>
  <c r="GE26" i="2"/>
  <c r="GE88" i="2"/>
  <c r="GE89" i="2"/>
  <c r="GE54" i="2"/>
  <c r="GE185" i="2"/>
  <c r="GE90" i="2"/>
  <c r="GE103" i="2"/>
  <c r="GE187" i="2"/>
  <c r="GE33" i="2"/>
  <c r="GE132" i="2"/>
  <c r="GE184" i="2"/>
  <c r="GE137" i="2"/>
  <c r="GE193" i="2"/>
  <c r="GE138" i="2"/>
  <c r="GE141" i="2"/>
  <c r="GE77" i="2"/>
  <c r="GE18" i="2"/>
  <c r="GE120" i="2"/>
  <c r="GE38" i="2"/>
  <c r="GE112" i="2"/>
  <c r="GE27" i="2"/>
  <c r="GE17" i="2"/>
  <c r="GE144" i="2"/>
  <c r="GE55" i="2"/>
  <c r="GE39" i="2"/>
  <c r="GE63" i="2"/>
  <c r="GE56" i="2"/>
  <c r="GE121" i="2"/>
  <c r="GE195" i="2"/>
  <c r="GE148" i="2"/>
  <c r="GE136" i="2"/>
  <c r="GE94" i="2"/>
  <c r="GE47" i="2"/>
  <c r="GE67" i="2"/>
  <c r="GE151" i="2"/>
  <c r="GE62" i="2"/>
  <c r="GE36" i="2"/>
  <c r="GE48" i="2"/>
  <c r="GE118" i="2"/>
  <c r="GE57" i="2"/>
  <c r="GE21" i="2"/>
  <c r="GE189" i="2"/>
  <c r="GE7" i="2"/>
  <c r="GE161" i="2"/>
  <c r="GE122" i="2"/>
  <c r="GE111" i="2"/>
  <c r="GE6" i="2"/>
  <c r="GE81" i="2"/>
  <c r="GE76" i="2"/>
  <c r="GE100" i="2"/>
  <c r="GE37" i="2"/>
  <c r="GE128" i="2"/>
  <c r="GE25" i="2"/>
  <c r="GE143" i="2"/>
  <c r="GE46" i="2"/>
  <c r="GE198" i="2"/>
  <c r="GE139" i="2"/>
  <c r="GE35" i="2"/>
  <c r="GE114" i="2"/>
  <c r="GE134" i="2"/>
  <c r="GE30" i="2"/>
  <c r="GE196" i="2"/>
  <c r="GE98" i="2"/>
  <c r="GE96" i="2"/>
  <c r="GE91" i="2"/>
  <c r="GE125" i="2"/>
  <c r="GE127" i="2"/>
  <c r="GE129" i="2"/>
  <c r="GE87" i="2"/>
  <c r="GE4" i="2"/>
  <c r="GE164" i="2"/>
  <c r="GE15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<sst xmlns="http://schemas.openxmlformats.org/spreadsheetml/2006/main" count="1177" uniqueCount="325">
  <si>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</si>
  <si>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</si>
  <si>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</si>
  <si>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</si>
  <si>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</si>
  <si>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</si>
  <si>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</si>
  <si>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</si>
  <si>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</si>
  <si>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</si>
  <si>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</si>
  <si>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</si>
  <si>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</si>
  <si>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</si>
  <si>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</si>
  <si>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</si>
  <si>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</si>
  <si>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</si>
  <si>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</si>
  <si>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</si>
  <si>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</si>
  <si>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</si>
  <si>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</si>
  <si>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</si>
  <si>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</si>
  <si>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</si>
  <si>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</si>
  <si>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</si>
  <si>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</si>
  <si>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</si>
  <si>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</si>
  <si>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</si>
  <si>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</si>
  <si>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</si>
  <si>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</si>
  <si>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</si>
  <si>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</si>
  <si>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</si>
  <si>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</si>
  <si>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</si>
  <si>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</si>
  <si>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</si>
  <si>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</si>
  <si>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</si>
  <si>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</si>
  <si>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</si>
  <si>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</si>
  <si>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</si>
  <si>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</si>
  <si>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</si>
  <si>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</si>
  <si>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</si>
  <si>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</si>
  <si>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</si>
  <si>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</si>
  <si>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</si>
  <si>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</si>
  <si>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</si>
  <si>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</si>
  <si>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</si>
  <si>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</si>
  <si>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</si>
  <si>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</si>
  <si>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</si>
  <si>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</si>
  <si>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</si>
  <si>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</si>
  <si>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</si>
  <si>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</si>
  <si>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</si>
  <si>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</si>
  <si>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</si>
  <si>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</si>
  <si>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</si>
  <si>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</si>
  <si>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</si>
  <si>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</si>
  <si>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</si>
  <si>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</si>
  <si>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</si>
  <si>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</si>
  <si>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</si>
  <si>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</si>
  <si>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</si>
  <si>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</si>
  <si>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</si>
  <si>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</si>
  <si>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</si>
  <si>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</si>
  <si>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</si>
  <si>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</si>
  <si>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</si>
  <si>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</si>
  <si>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</si>
  <si>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</si>
  <si>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</si>
  <si>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</si>
  <si>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</si>
  <si>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</si>
  <si>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</si>
  <si>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</si>
  <si>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</si>
  <si>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</si>
  <si>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</si>
  <si>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</si>
  <si>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</si>
  <si>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</si>
  <si>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</si>
  <si>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</si>
  <si>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</si>
  <si>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</si>
  <si>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</si>
  <si>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</si>
  <si>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</si>
  <si>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</si>
  <si>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</si>
  <si>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</si>
  <si>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</si>
  <si>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</si>
  <si>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</si>
  <si>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</si>
  <si>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</si>
  <si>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</si>
  <si>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</si>
  <si>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</si>
  <si>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</si>
  <si>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</si>
  <si>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</si>
  <si>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</si>
  <si>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</si>
  <si>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</si>
  <si>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</si>
  <si>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</si>
  <si>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</si>
  <si>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</si>
  <si>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</si>
  <si>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</si>
  <si>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</si>
  <si>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</si>
  <si>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</si>
  <si>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</si>
  <si>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</si>
  <si>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</si>
  <si>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</si>
  <si>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</si>
  <si>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</si>
  <si>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</si>
  <si>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</si>
  <si>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</si>
  <si>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</si>
  <si>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</si>
  <si>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</si>
  <si>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</si>
  <si>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</si>
  <si>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</si>
  <si>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</si>
  <si>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</si>
  <si>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</si>
  <si>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</si>
  <si>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</si>
  <si>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</si>
  <si>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</si>
  <si>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</si>
  <si>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</si>
  <si>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</si>
  <si>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</si>
  <si>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</si>
  <si>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</si>
  <si>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</si>
  <si>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</si>
  <si>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</si>
  <si>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</si>
  <si>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</si>
  <si>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</si>
  <si>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</si>
  <si>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</si>
  <si>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</si>
  <si>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</si>
  <si>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</si>
  <si>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</si>
  <si>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</si>
  <si>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</si>
  <si>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</si>
  <si>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</si>
  <si>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</si>
  <si>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</si>
  <si>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</si>
  <si>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</si>
  <si>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</si>
  <si>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</si>
  <si>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</si>
  <si>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</si>
  <si>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</si>
  <si>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</si>
  <si>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</si>
  <si>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</si>
  <si>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</si>
  <si>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</si>
  <si>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</si>
  <si>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</si>
  <si>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</si>
  <si>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</si>
  <si>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</si>
  <si>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</si>
  <si>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</si>
  <si>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</si>
  <si>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</si>
  <si>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</si>
  <si>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</si>
  <si>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</si>
  <si>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</si>
  <si>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</si>
  <si>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</si>
  <si>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</si>
  <si>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</si>
  <si>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</si>
  <si>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</si>
  <si>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</si>
  <si>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</si>
  <si>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</si>
  <si>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</si>
  <si>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</si>
  <si>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</si>
  <si>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</si>
  <si>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</si>
  <si>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</si>
  <si>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</si>
  <si>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</si>
  <si>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</si>
  <si>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</si>
  <si>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</si>
  <si>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</si>
  <si>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</si>
  <si>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</si>
  <si>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</si>
  <si>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</si>
  <si>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</si>
  <si>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</si>
  <si>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</si>
  <si>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</si>
  <si>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</si>
  <si>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</si>
  <si>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</si>
  <si>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</si>
  <si>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</si>
  <si>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</si>
  <si>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</si>
  <si>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</si>
  <si>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</si>
  <si>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</si>
  <si>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</si>
  <si>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</si>
  <si>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</si>
  <si>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</si>
  <si>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</si>
  <si>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</si>
  <si>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</si>
  <si>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</si>
  <si>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</si>
  <si>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</si>
  <si>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</si>
  <si>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</si>
  <si>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</si>
  <si>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</si>
  <si>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</si>
  <si>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</si>
  <si>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</si>
  <si>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</si>
  <si>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</si>
  <si>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</si>
  <si>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</si>
  <si>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</si>
  <si>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</si>
  <si>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</si>
  <si>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</si>
  <si>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</si>
  <si>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</si>
  <si>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</si>
  <si>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</si>
  <si>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</si>
  <si>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</si>
  <si>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</si>
  <si>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</si>
  <si>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</si>
  <si>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</si>
  <si>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</si>
  <si>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</si>
  <si>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</si>
  <si>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</si>
  <si>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</si>
  <si>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</si>
  <si>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</si>
  <si>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</si>
  <si>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</si>
  <si>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</si>
  <si>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</si>
  <si>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</si>
  <si>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</si>
  <si>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</si>
  <si>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</si>
  <si>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</si>
  <si>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</si>
  <si>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</si>
  <si>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</si>
  <si>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</si>
  <si>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</si>
  <si>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</si>
  <si>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</si>
  <si>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</si>
  <si>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</si>
  <si>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</si>
  <si>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</si>
  <si>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</si>
  <si>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</si>
  <si>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</si>
  <si>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</si>
  <si>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</si>
  <si>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</si>
  <si>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</si>
  <si>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</si>
  <si>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</si>
  <si>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</si>
  <si>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</si>
  <si>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</si>
  <si>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Cette surface sera boisée par un mélange d'essences d'arbre fruitiers, le bouleau a été sélectionné comme équivalent le plus proche pour représenter ces essences.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</si>
</sst>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theme="1"/>
      <name val="Calibri"/>
    </font>
    <font>
      <b/>
      <sz val="11"/>
      <color rgb="FFFF0000"/>
      <name val="Calibri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29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0" fillId="0" borderId="7" xfId="0" applyFont="1" applyBorder="1" applyProtection="1">
      <protection hidden="1"/>
    </xf>
    <xf numFmtId="0" fontId="30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1" fillId="21" borderId="54" xfId="0" applyNumberFormat="1" applyFont="1" applyFill="1" applyBorder="1" applyAlignment="1" applyProtection="1">
      <alignment horizontal="center" vertical="center"/>
      <protection locked="0"/>
    </xf>
    <xf numFmtId="1" fontId="31" fillId="21" borderId="54" xfId="0" applyNumberFormat="1" applyFont="1" applyFill="1" applyBorder="1" applyAlignment="1" applyProtection="1">
      <alignment horizontal="center" vertical="center"/>
      <protection locked="0"/>
    </xf>
    <xf numFmtId="0" fontId="32" fillId="21" borderId="1" xfId="0" applyFont="1" applyFill="1" applyBorder="1" applyAlignment="1" applyProtection="1">
      <alignment horizontal="center" wrapText="1"/>
      <protection locked="0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1" xfId="0" applyFont="1" applyFill="1" applyBorder="1" applyAlignment="1" applyProtection="1">
      <alignment horizontal="center"/>
      <protection locked="0"/>
    </xf>
    <xf numFmtId="0" fontId="32" fillId="21" borderId="55" xfId="0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168" fontId="31" fillId="21" borderId="54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0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764.41193582037283</c:v>
                </c:pt>
                <c:pt idx="62">
                  <c:v>764.41193582037283</c:v>
                </c:pt>
                <c:pt idx="63">
                  <c:v>764.41193582037283</c:v>
                </c:pt>
                <c:pt idx="64">
                  <c:v>764.41193582037283</c:v>
                </c:pt>
                <c:pt idx="65">
                  <c:v>764.41193582037283</c:v>
                </c:pt>
                <c:pt idx="66">
                  <c:v>764.41193582037283</c:v>
                </c:pt>
                <c:pt idx="67">
                  <c:v>764.41193582037283</c:v>
                </c:pt>
                <c:pt idx="68">
                  <c:v>764.41193582037283</c:v>
                </c:pt>
                <c:pt idx="69">
                  <c:v>764.41193582037283</c:v>
                </c:pt>
                <c:pt idx="70">
                  <c:v>764.41193582037283</c:v>
                </c:pt>
                <c:pt idx="71">
                  <c:v>764.41193582037283</c:v>
                </c:pt>
                <c:pt idx="72">
                  <c:v>764.41193582037283</c:v>
                </c:pt>
                <c:pt idx="73">
                  <c:v>764.41193582037283</c:v>
                </c:pt>
                <c:pt idx="74">
                  <c:v>764.41193582037283</c:v>
                </c:pt>
                <c:pt idx="75">
                  <c:v>764.41193582037283</c:v>
                </c:pt>
                <c:pt idx="76">
                  <c:v>764.41193582037283</c:v>
                </c:pt>
                <c:pt idx="77">
                  <c:v>764.41193582037283</c:v>
                </c:pt>
                <c:pt idx="78">
                  <c:v>764.41193582037283</c:v>
                </c:pt>
                <c:pt idx="79">
                  <c:v>764.41193582037283</c:v>
                </c:pt>
                <c:pt idx="80">
                  <c:v>764.41193582037283</c:v>
                </c:pt>
                <c:pt idx="81">
                  <c:v>764.41193582037283</c:v>
                </c:pt>
                <c:pt idx="82">
                  <c:v>764.41193582037283</c:v>
                </c:pt>
                <c:pt idx="83">
                  <c:v>764.41193582037283</c:v>
                </c:pt>
                <c:pt idx="84">
                  <c:v>764.41193582037283</c:v>
                </c:pt>
                <c:pt idx="85">
                  <c:v>764.41193582037283</c:v>
                </c:pt>
                <c:pt idx="86">
                  <c:v>764.41193582037283</c:v>
                </c:pt>
                <c:pt idx="87">
                  <c:v>764.41193582037283</c:v>
                </c:pt>
                <c:pt idx="88">
                  <c:v>764.41193582037283</c:v>
                </c:pt>
                <c:pt idx="89">
                  <c:v>764.41193582037283</c:v>
                </c:pt>
                <c:pt idx="90">
                  <c:v>764.41193582037283</c:v>
                </c:pt>
                <c:pt idx="91">
                  <c:v>764.41193582037283</c:v>
                </c:pt>
                <c:pt idx="92">
                  <c:v>764.41193582037283</c:v>
                </c:pt>
                <c:pt idx="93">
                  <c:v>764.41193582037283</c:v>
                </c:pt>
                <c:pt idx="94">
                  <c:v>764.41193582037283</c:v>
                </c:pt>
                <c:pt idx="95">
                  <c:v>764.41193582037283</c:v>
                </c:pt>
                <c:pt idx="96">
                  <c:v>764.41193582037283</c:v>
                </c:pt>
                <c:pt idx="97">
                  <c:v>764.41193582037283</c:v>
                </c:pt>
                <c:pt idx="98">
                  <c:v>764.41193582037283</c:v>
                </c:pt>
                <c:pt idx="99">
                  <c:v>764.41193582037283</c:v>
                </c:pt>
                <c:pt idx="100">
                  <c:v>764.41193582037283</c:v>
                </c:pt>
                <c:pt idx="101">
                  <c:v>764.41193582037283</c:v>
                </c:pt>
                <c:pt idx="102">
                  <c:v>764.41193582037283</c:v>
                </c:pt>
                <c:pt idx="103">
                  <c:v>764.41193582037283</c:v>
                </c:pt>
                <c:pt idx="104">
                  <c:v>764.41193582037283</c:v>
                </c:pt>
                <c:pt idx="105">
                  <c:v>764.41193582037283</c:v>
                </c:pt>
                <c:pt idx="106">
                  <c:v>764.41193582037283</c:v>
                </c:pt>
                <c:pt idx="107">
                  <c:v>764.41193582037283</c:v>
                </c:pt>
                <c:pt idx="108">
                  <c:v>764.41193582037283</c:v>
                </c:pt>
                <c:pt idx="109">
                  <c:v>764.41193582037283</c:v>
                </c:pt>
                <c:pt idx="110">
                  <c:v>764.41193582037283</c:v>
                </c:pt>
                <c:pt idx="111">
                  <c:v>764.41193582037283</c:v>
                </c:pt>
                <c:pt idx="112">
                  <c:v>764.41193582037283</c:v>
                </c:pt>
                <c:pt idx="113">
                  <c:v>764.41193582037283</c:v>
                </c:pt>
                <c:pt idx="114">
                  <c:v>764.41193582037283</c:v>
                </c:pt>
                <c:pt idx="115">
                  <c:v>764.41193582037283</c:v>
                </c:pt>
                <c:pt idx="116">
                  <c:v>764.41193582037283</c:v>
                </c:pt>
                <c:pt idx="117">
                  <c:v>764.41193582037283</c:v>
                </c:pt>
                <c:pt idx="118">
                  <c:v>764.41193582037283</c:v>
                </c:pt>
                <c:pt idx="119">
                  <c:v>764.41193582037283</c:v>
                </c:pt>
                <c:pt idx="120">
                  <c:v>764.41193582037283</c:v>
                </c:pt>
                <c:pt idx="121">
                  <c:v>764.41193582037283</c:v>
                </c:pt>
                <c:pt idx="122">
                  <c:v>764.41193582037283</c:v>
                </c:pt>
                <c:pt idx="123">
                  <c:v>764.41193582037283</c:v>
                </c:pt>
                <c:pt idx="124">
                  <c:v>764.41193582037283</c:v>
                </c:pt>
                <c:pt idx="125">
                  <c:v>764.41193582037283</c:v>
                </c:pt>
                <c:pt idx="126">
                  <c:v>764.41193582037283</c:v>
                </c:pt>
                <c:pt idx="127">
                  <c:v>764.41193582037283</c:v>
                </c:pt>
                <c:pt idx="128">
                  <c:v>764.41193582037283</c:v>
                </c:pt>
                <c:pt idx="129">
                  <c:v>764.41193582037283</c:v>
                </c:pt>
                <c:pt idx="130">
                  <c:v>764.41193582037283</c:v>
                </c:pt>
                <c:pt idx="131">
                  <c:v>764.41193582037283</c:v>
                </c:pt>
                <c:pt idx="132">
                  <c:v>764.41193582037283</c:v>
                </c:pt>
                <c:pt idx="133">
                  <c:v>764.41193582037283</c:v>
                </c:pt>
                <c:pt idx="134">
                  <c:v>764.41193582037283</c:v>
                </c:pt>
                <c:pt idx="135">
                  <c:v>764.41193582037283</c:v>
                </c:pt>
                <c:pt idx="136">
                  <c:v>764.41193582037283</c:v>
                </c:pt>
                <c:pt idx="137">
                  <c:v>764.41193582037283</c:v>
                </c:pt>
                <c:pt idx="138">
                  <c:v>764.41193582037283</c:v>
                </c:pt>
                <c:pt idx="139">
                  <c:v>764.41193582037283</c:v>
                </c:pt>
                <c:pt idx="140">
                  <c:v>764.41193582037283</c:v>
                </c:pt>
                <c:pt idx="141">
                  <c:v>764.41193582037283</c:v>
                </c:pt>
                <c:pt idx="142">
                  <c:v>764.41193582037283</c:v>
                </c:pt>
                <c:pt idx="143">
                  <c:v>764.41193582037283</c:v>
                </c:pt>
                <c:pt idx="144">
                  <c:v>764.41193582037283</c:v>
                </c:pt>
                <c:pt idx="145">
                  <c:v>764.41193582037283</c:v>
                </c:pt>
                <c:pt idx="146">
                  <c:v>764.41193582037283</c:v>
                </c:pt>
                <c:pt idx="147">
                  <c:v>764.41193582037283</c:v>
                </c:pt>
                <c:pt idx="148">
                  <c:v>764.41193582037283</c:v>
                </c:pt>
                <c:pt idx="149">
                  <c:v>764.41193582037283</c:v>
                </c:pt>
                <c:pt idx="150">
                  <c:v>764.41193582037283</c:v>
                </c:pt>
                <c:pt idx="151">
                  <c:v>764.41193582037283</c:v>
                </c:pt>
                <c:pt idx="152">
                  <c:v>764.41193582037283</c:v>
                </c:pt>
                <c:pt idx="153">
                  <c:v>764.41193582037283</c:v>
                </c:pt>
                <c:pt idx="154">
                  <c:v>764.41193582037283</c:v>
                </c:pt>
                <c:pt idx="155">
                  <c:v>764.41193582037283</c:v>
                </c:pt>
                <c:pt idx="156">
                  <c:v>764.41193582037283</c:v>
                </c:pt>
                <c:pt idx="157">
                  <c:v>764.41193582037283</c:v>
                </c:pt>
                <c:pt idx="158">
                  <c:v>764.41193582037283</c:v>
                </c:pt>
                <c:pt idx="159">
                  <c:v>764.41193582037283</c:v>
                </c:pt>
                <c:pt idx="160">
                  <c:v>764.41193582037283</c:v>
                </c:pt>
                <c:pt idx="161">
                  <c:v>764.41193582037283</c:v>
                </c:pt>
                <c:pt idx="162">
                  <c:v>764.41193582037283</c:v>
                </c:pt>
                <c:pt idx="163">
                  <c:v>764.41193582037283</c:v>
                </c:pt>
                <c:pt idx="164">
                  <c:v>764.41193582037283</c:v>
                </c:pt>
                <c:pt idx="165">
                  <c:v>764.41193582037283</c:v>
                </c:pt>
                <c:pt idx="166">
                  <c:v>764.41193582037283</c:v>
                </c:pt>
                <c:pt idx="167">
                  <c:v>764.41193582037283</c:v>
                </c:pt>
                <c:pt idx="168">
                  <c:v>764.41193582037283</c:v>
                </c:pt>
                <c:pt idx="169">
                  <c:v>764.41193582037283</c:v>
                </c:pt>
                <c:pt idx="170">
                  <c:v>764.41193582037283</c:v>
                </c:pt>
                <c:pt idx="171">
                  <c:v>764.41193582037283</c:v>
                </c:pt>
                <c:pt idx="172">
                  <c:v>764.41193582037283</c:v>
                </c:pt>
                <c:pt idx="173">
                  <c:v>764.41193582037283</c:v>
                </c:pt>
                <c:pt idx="174">
                  <c:v>764.41193582037283</c:v>
                </c:pt>
                <c:pt idx="175">
                  <c:v>764.41193582037283</c:v>
                </c:pt>
                <c:pt idx="176">
                  <c:v>764.41193582037283</c:v>
                </c:pt>
                <c:pt idx="177">
                  <c:v>764.41193582037283</c:v>
                </c:pt>
                <c:pt idx="178">
                  <c:v>764.41193582037283</c:v>
                </c:pt>
                <c:pt idx="179">
                  <c:v>764.41193582037283</c:v>
                </c:pt>
                <c:pt idx="180">
                  <c:v>764.41193582037283</c:v>
                </c:pt>
                <c:pt idx="181">
                  <c:v>764.41193582037283</c:v>
                </c:pt>
                <c:pt idx="182">
                  <c:v>764.41193582037283</c:v>
                </c:pt>
                <c:pt idx="183">
                  <c:v>764.41193582037283</c:v>
                </c:pt>
                <c:pt idx="184">
                  <c:v>764.41193582037283</c:v>
                </c:pt>
                <c:pt idx="185">
                  <c:v>764.41193582037283</c:v>
                </c:pt>
                <c:pt idx="186">
                  <c:v>764.41193582037283</c:v>
                </c:pt>
                <c:pt idx="187">
                  <c:v>764.41193582037283</c:v>
                </c:pt>
                <c:pt idx="188">
                  <c:v>764.41193582037283</c:v>
                </c:pt>
                <c:pt idx="189">
                  <c:v>764.41193582037283</c:v>
                </c:pt>
                <c:pt idx="190">
                  <c:v>764.41193582037283</c:v>
                </c:pt>
                <c:pt idx="191">
                  <c:v>764.41193582037283</c:v>
                </c:pt>
                <c:pt idx="192">
                  <c:v>764.41193582037283</c:v>
                </c:pt>
                <c:pt idx="193">
                  <c:v>764.41193582037283</c:v>
                </c:pt>
                <c:pt idx="194">
                  <c:v>764.41193582037283</c:v>
                </c:pt>
                <c:pt idx="195">
                  <c:v>764.41193582037283</c:v>
                </c:pt>
                <c:pt idx="196">
                  <c:v>764.41193582037283</c:v>
                </c:pt>
                <c:pt idx="197">
                  <c:v>764.41193582037283</c:v>
                </c:pt>
                <c:pt idx="198">
                  <c:v>764.41193582037283</c:v>
                </c:pt>
                <c:pt idx="199">
                  <c:v>764.41193582037283</c:v>
                </c:pt>
                <c:pt idx="200">
                  <c:v>764.41193582037283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1.6419271867377201</c:v>
                </c:pt>
                <c:pt idx="2">
                  <c:v>2.2005680509970378</c:v>
                </c:pt>
                <c:pt idx="3">
                  <c:v>2.9500822227003223</c:v>
                </c:pt>
                <c:pt idx="4">
                  <c:v>3.9559455701571538</c:v>
                </c:pt>
                <c:pt idx="5">
                  <c:v>5.3061776306446271</c:v>
                </c:pt>
                <c:pt idx="6">
                  <c:v>7.1191301438871548</c:v>
                </c:pt>
                <c:pt idx="7">
                  <c:v>9.5539749064720088</c:v>
                </c:pt>
                <c:pt idx="8">
                  <c:v>12.824829163250916</c:v>
                </c:pt>
                <c:pt idx="9">
                  <c:v>17.219783705380699</c:v>
                </c:pt>
                <c:pt idx="10">
                  <c:v>23.126540005827355</c:v>
                </c:pt>
                <c:pt idx="11">
                  <c:v>31.0669580703407</c:v>
                </c:pt>
                <c:pt idx="12">
                  <c:v>41.743620214662549</c:v>
                </c:pt>
                <c:pt idx="13">
                  <c:v>56.102600643537734</c:v>
                </c:pt>
                <c:pt idx="14">
                  <c:v>75.418095056240773</c:v>
                </c:pt>
                <c:pt idx="15">
                  <c:v>101.40654169751237</c:v>
                </c:pt>
                <c:pt idx="16">
                  <c:v>129.08344037411621</c:v>
                </c:pt>
                <c:pt idx="17">
                  <c:v>156.61609434461207</c:v>
                </c:pt>
                <c:pt idx="18">
                  <c:v>184.03353707055848</c:v>
                </c:pt>
                <c:pt idx="19">
                  <c:v>211.35538144796092</c:v>
                </c:pt>
                <c:pt idx="20">
                  <c:v>238.59573324490532</c:v>
                </c:pt>
                <c:pt idx="21">
                  <c:v>199.42548241866655</c:v>
                </c:pt>
                <c:pt idx="22">
                  <c:v>232.95201893246733</c:v>
                </c:pt>
                <c:pt idx="23">
                  <c:v>266.36823346870545</c:v>
                </c:pt>
                <c:pt idx="24">
                  <c:v>299.68991361092009</c:v>
                </c:pt>
                <c:pt idx="25">
                  <c:v>332.92904287941263</c:v>
                </c:pt>
                <c:pt idx="26">
                  <c:v>283.64224516951549</c:v>
                </c:pt>
                <c:pt idx="27">
                  <c:v>318.52155741988031</c:v>
                </c:pt>
                <c:pt idx="28">
                  <c:v>353.31628382059779</c:v>
                </c:pt>
                <c:pt idx="29">
                  <c:v>388.03591688356778</c:v>
                </c:pt>
                <c:pt idx="30">
                  <c:v>422.68811168338493</c:v>
                </c:pt>
                <c:pt idx="31">
                  <c:v>372.87972993501268</c:v>
                </c:pt>
                <c:pt idx="32">
                  <c:v>406.764014604328</c:v>
                </c:pt>
                <c:pt idx="33">
                  <c:v>440.58731622566688</c:v>
                </c:pt>
                <c:pt idx="34">
                  <c:v>474.35496773005622</c:v>
                </c:pt>
                <c:pt idx="35">
                  <c:v>508.07148149252947</c:v>
                </c:pt>
                <c:pt idx="36">
                  <c:v>456.48461552128651</c:v>
                </c:pt>
                <c:pt idx="37">
                  <c:v>488.24419789739932</c:v>
                </c:pt>
                <c:pt idx="38">
                  <c:v>519.95995877310202</c:v>
                </c:pt>
                <c:pt idx="39">
                  <c:v>551.63494285164984</c:v>
                </c:pt>
                <c:pt idx="40">
                  <c:v>583.27181709550734</c:v>
                </c:pt>
                <c:pt idx="41">
                  <c:v>529.66462428371926</c:v>
                </c:pt>
                <c:pt idx="42">
                  <c:v>559.15205854563135</c:v>
                </c:pt>
                <c:pt idx="43">
                  <c:v>588.60695345087686</c:v>
                </c:pt>
                <c:pt idx="44">
                  <c:v>618.03116389548916</c:v>
                </c:pt>
                <c:pt idx="45">
                  <c:v>647.4263539919084</c:v>
                </c:pt>
                <c:pt idx="46">
                  <c:v>593.94108274295399</c:v>
                </c:pt>
                <c:pt idx="47">
                  <c:v>623.35991611422594</c:v>
                </c:pt>
                <c:pt idx="48">
                  <c:v>652.75001250200069</c:v>
                </c:pt>
                <c:pt idx="49">
                  <c:v>682.11284576287437</c:v>
                </c:pt>
                <c:pt idx="50">
                  <c:v>711.44975270572206</c:v>
                </c:pt>
                <c:pt idx="51">
                  <c:v>657.28427471639691</c:v>
                </c:pt>
                <c:pt idx="52">
                  <c:v>680.93095932318045</c:v>
                </c:pt>
                <c:pt idx="53">
                  <c:v>704.5607965314897</c:v>
                </c:pt>
                <c:pt idx="54">
                  <c:v>728.17443017323887</c:v>
                </c:pt>
                <c:pt idx="55">
                  <c:v>751.77245897300372</c:v>
                </c:pt>
                <c:pt idx="56">
                  <c:v>706.52920967846251</c:v>
                </c:pt>
                <c:pt idx="57">
                  <c:v>730.14152063681979</c:v>
                </c:pt>
                <c:pt idx="58">
                  <c:v>753.73827475643657</c:v>
                </c:pt>
                <c:pt idx="59">
                  <c:v>777.32002696073312</c:v>
                </c:pt>
                <c:pt idx="60">
                  <c:v>800.88729580434904</c:v>
                </c:pt>
                <c:pt idx="61">
                  <c:v>760.02818683550061</c:v>
                </c:pt>
                <c:pt idx="62">
                  <c:v>782.0346234048319</c:v>
                </c:pt>
                <c:pt idx="63">
                  <c:v>804.02853046951634</c:v>
                </c:pt>
                <c:pt idx="64">
                  <c:v>826.01029857265269</c:v>
                </c:pt>
                <c:pt idx="65">
                  <c:v>847.98029580441369</c:v>
                </c:pt>
                <c:pt idx="66">
                  <c:v>809.13250899918137</c:v>
                </c:pt>
                <c:pt idx="67">
                  <c:v>829.14958195166719</c:v>
                </c:pt>
                <c:pt idx="68">
                  <c:v>849.15693456209056</c:v>
                </c:pt>
                <c:pt idx="69">
                  <c:v>869.15482781931985</c:v>
                </c:pt>
                <c:pt idx="70">
                  <c:v>889.14350973873854</c:v>
                </c:pt>
                <c:pt idx="71">
                  <c:v>853.27491282283324</c:v>
                </c:pt>
                <c:pt idx="72">
                  <c:v>872.29091031281223</c:v>
                </c:pt>
                <c:pt idx="73">
                  <c:v>891.29861166394903</c:v>
                </c:pt>
                <c:pt idx="74">
                  <c:v>910.29821849396728</c:v>
                </c:pt>
                <c:pt idx="75">
                  <c:v>929.28992332904409</c:v>
                </c:pt>
                <c:pt idx="76">
                  <c:v>893.84541613151794</c:v>
                </c:pt>
                <c:pt idx="77">
                  <c:v>911.27736390190012</c:v>
                </c:pt>
                <c:pt idx="78">
                  <c:v>928.70266760032655</c:v>
                </c:pt>
                <c:pt idx="79">
                  <c:v>946.12146929869789</c:v>
                </c:pt>
                <c:pt idx="80">
                  <c:v>963.53390541766657</c:v>
                </c:pt>
                <c:pt idx="81">
                  <c:v>912.64813225213504</c:v>
                </c:pt>
                <c:pt idx="82">
                  <c:v>912.64813225213504</c:v>
                </c:pt>
                <c:pt idx="83">
                  <c:v>912.64813225213504</c:v>
                </c:pt>
                <c:pt idx="84">
                  <c:v>912.64813225213504</c:v>
                </c:pt>
                <c:pt idx="85">
                  <c:v>912.64813225213504</c:v>
                </c:pt>
                <c:pt idx="86">
                  <c:v>912.64813225213504</c:v>
                </c:pt>
                <c:pt idx="87">
                  <c:v>912.64813225213504</c:v>
                </c:pt>
                <c:pt idx="88">
                  <c:v>912.64813225213504</c:v>
                </c:pt>
                <c:pt idx="89">
                  <c:v>912.64813225213504</c:v>
                </c:pt>
                <c:pt idx="90">
                  <c:v>912.64813225213504</c:v>
                </c:pt>
                <c:pt idx="91">
                  <c:v>912.64813225213504</c:v>
                </c:pt>
                <c:pt idx="92">
                  <c:v>912.64813225213504</c:v>
                </c:pt>
                <c:pt idx="93">
                  <c:v>912.64813225213504</c:v>
                </c:pt>
                <c:pt idx="94">
                  <c:v>912.64813225213504</c:v>
                </c:pt>
                <c:pt idx="95">
                  <c:v>912.64813225213504</c:v>
                </c:pt>
                <c:pt idx="96">
                  <c:v>912.64813225213504</c:v>
                </c:pt>
                <c:pt idx="97">
                  <c:v>912.64813225213504</c:v>
                </c:pt>
                <c:pt idx="98">
                  <c:v>912.64813225213504</c:v>
                </c:pt>
                <c:pt idx="99">
                  <c:v>912.64813225213504</c:v>
                </c:pt>
                <c:pt idx="100">
                  <c:v>912.64813225213504</c:v>
                </c:pt>
                <c:pt idx="101">
                  <c:v>912.64813225213504</c:v>
                </c:pt>
                <c:pt idx="102">
                  <c:v>912.64813225213504</c:v>
                </c:pt>
                <c:pt idx="103">
                  <c:v>912.64813225213504</c:v>
                </c:pt>
                <c:pt idx="104">
                  <c:v>912.64813225213504</c:v>
                </c:pt>
                <c:pt idx="105">
                  <c:v>912.64813225213504</c:v>
                </c:pt>
                <c:pt idx="106">
                  <c:v>912.64813225213504</c:v>
                </c:pt>
                <c:pt idx="107">
                  <c:v>912.64813225213504</c:v>
                </c:pt>
                <c:pt idx="108">
                  <c:v>912.64813225213504</c:v>
                </c:pt>
                <c:pt idx="109">
                  <c:v>912.64813225213504</c:v>
                </c:pt>
                <c:pt idx="110">
                  <c:v>912.64813225213504</c:v>
                </c:pt>
                <c:pt idx="111">
                  <c:v>912.64813225213504</c:v>
                </c:pt>
                <c:pt idx="112">
                  <c:v>912.64813225213504</c:v>
                </c:pt>
                <c:pt idx="113">
                  <c:v>912.64813225213504</c:v>
                </c:pt>
                <c:pt idx="114">
                  <c:v>912.64813225213504</c:v>
                </c:pt>
                <c:pt idx="115">
                  <c:v>912.64813225213504</c:v>
                </c:pt>
                <c:pt idx="116">
                  <c:v>912.64813225213504</c:v>
                </c:pt>
                <c:pt idx="117">
                  <c:v>912.64813225213504</c:v>
                </c:pt>
                <c:pt idx="118">
                  <c:v>912.64813225213504</c:v>
                </c:pt>
                <c:pt idx="119">
                  <c:v>912.64813225213504</c:v>
                </c:pt>
                <c:pt idx="120">
                  <c:v>912.64813225213504</c:v>
                </c:pt>
                <c:pt idx="121">
                  <c:v>912.64813225213504</c:v>
                </c:pt>
                <c:pt idx="122">
                  <c:v>912.64813225213504</c:v>
                </c:pt>
                <c:pt idx="123">
                  <c:v>912.64813225213504</c:v>
                </c:pt>
                <c:pt idx="124">
                  <c:v>912.64813225213504</c:v>
                </c:pt>
                <c:pt idx="125">
                  <c:v>912.64813225213504</c:v>
                </c:pt>
                <c:pt idx="126">
                  <c:v>912.64813225213504</c:v>
                </c:pt>
                <c:pt idx="127">
                  <c:v>912.64813225213504</c:v>
                </c:pt>
                <c:pt idx="128">
                  <c:v>912.64813225213504</c:v>
                </c:pt>
                <c:pt idx="129">
                  <c:v>912.64813225213504</c:v>
                </c:pt>
                <c:pt idx="130">
                  <c:v>912.64813225213504</c:v>
                </c:pt>
                <c:pt idx="131">
                  <c:v>912.64813225213504</c:v>
                </c:pt>
                <c:pt idx="132">
                  <c:v>912.64813225213504</c:v>
                </c:pt>
                <c:pt idx="133">
                  <c:v>912.64813225213504</c:v>
                </c:pt>
                <c:pt idx="134">
                  <c:v>912.64813225213504</c:v>
                </c:pt>
                <c:pt idx="135">
                  <c:v>912.64813225213504</c:v>
                </c:pt>
                <c:pt idx="136">
                  <c:v>912.64813225213504</c:v>
                </c:pt>
                <c:pt idx="137">
                  <c:v>912.64813225213504</c:v>
                </c:pt>
                <c:pt idx="138">
                  <c:v>912.64813225213504</c:v>
                </c:pt>
                <c:pt idx="139">
                  <c:v>912.64813225213504</c:v>
                </c:pt>
                <c:pt idx="140">
                  <c:v>912.64813225213504</c:v>
                </c:pt>
                <c:pt idx="141">
                  <c:v>912.64813225213504</c:v>
                </c:pt>
                <c:pt idx="142">
                  <c:v>912.64813225213504</c:v>
                </c:pt>
                <c:pt idx="143">
                  <c:v>912.64813225213504</c:v>
                </c:pt>
                <c:pt idx="144">
                  <c:v>912.64813225213504</c:v>
                </c:pt>
                <c:pt idx="145">
                  <c:v>912.64813225213504</c:v>
                </c:pt>
                <c:pt idx="146">
                  <c:v>912.64813225213504</c:v>
                </c:pt>
                <c:pt idx="147">
                  <c:v>912.64813225213504</c:v>
                </c:pt>
                <c:pt idx="148">
                  <c:v>912.64813225213504</c:v>
                </c:pt>
                <c:pt idx="149">
                  <c:v>912.64813225213504</c:v>
                </c:pt>
                <c:pt idx="150">
                  <c:v>912.64813225213504</c:v>
                </c:pt>
                <c:pt idx="151">
                  <c:v>912.64813225213504</c:v>
                </c:pt>
                <c:pt idx="152">
                  <c:v>912.64813225213504</c:v>
                </c:pt>
                <c:pt idx="153">
                  <c:v>912.64813225213504</c:v>
                </c:pt>
                <c:pt idx="154">
                  <c:v>912.64813225213504</c:v>
                </c:pt>
                <c:pt idx="155">
                  <c:v>912.64813225213504</c:v>
                </c:pt>
                <c:pt idx="156">
                  <c:v>912.64813225213504</c:v>
                </c:pt>
                <c:pt idx="157">
                  <c:v>912.64813225213504</c:v>
                </c:pt>
                <c:pt idx="158">
                  <c:v>912.64813225213504</c:v>
                </c:pt>
                <c:pt idx="159">
                  <c:v>912.64813225213504</c:v>
                </c:pt>
                <c:pt idx="160">
                  <c:v>912.64813225213504</c:v>
                </c:pt>
                <c:pt idx="161">
                  <c:v>912.64813225213504</c:v>
                </c:pt>
                <c:pt idx="162">
                  <c:v>912.64813225213504</c:v>
                </c:pt>
                <c:pt idx="163">
                  <c:v>912.64813225213504</c:v>
                </c:pt>
                <c:pt idx="164">
                  <c:v>912.64813225213504</c:v>
                </c:pt>
                <c:pt idx="165">
                  <c:v>912.64813225213504</c:v>
                </c:pt>
                <c:pt idx="166">
                  <c:v>912.64813225213504</c:v>
                </c:pt>
                <c:pt idx="167">
                  <c:v>912.64813225213504</c:v>
                </c:pt>
                <c:pt idx="168">
                  <c:v>912.64813225213504</c:v>
                </c:pt>
                <c:pt idx="169">
                  <c:v>912.64813225213504</c:v>
                </c:pt>
                <c:pt idx="170">
                  <c:v>912.64813225213504</c:v>
                </c:pt>
                <c:pt idx="171">
                  <c:v>912.64813225213504</c:v>
                </c:pt>
                <c:pt idx="172">
                  <c:v>912.64813225213504</c:v>
                </c:pt>
                <c:pt idx="173">
                  <c:v>912.64813225213504</c:v>
                </c:pt>
                <c:pt idx="174">
                  <c:v>912.64813225213504</c:v>
                </c:pt>
                <c:pt idx="175">
                  <c:v>912.64813225213504</c:v>
                </c:pt>
                <c:pt idx="176">
                  <c:v>912.64813225213504</c:v>
                </c:pt>
                <c:pt idx="177">
                  <c:v>912.64813225213504</c:v>
                </c:pt>
                <c:pt idx="178">
                  <c:v>912.64813225213504</c:v>
                </c:pt>
                <c:pt idx="179">
                  <c:v>912.64813225213504</c:v>
                </c:pt>
                <c:pt idx="180">
                  <c:v>912.64813225213504</c:v>
                </c:pt>
                <c:pt idx="181">
                  <c:v>912.64813225213504</c:v>
                </c:pt>
                <c:pt idx="182">
                  <c:v>912.64813225213504</c:v>
                </c:pt>
                <c:pt idx="183">
                  <c:v>912.64813225213504</c:v>
                </c:pt>
                <c:pt idx="184">
                  <c:v>912.64813225213504</c:v>
                </c:pt>
                <c:pt idx="185">
                  <c:v>912.64813225213504</c:v>
                </c:pt>
                <c:pt idx="186">
                  <c:v>912.64813225213504</c:v>
                </c:pt>
                <c:pt idx="187">
                  <c:v>912.64813225213504</c:v>
                </c:pt>
                <c:pt idx="188">
                  <c:v>912.64813225213504</c:v>
                </c:pt>
                <c:pt idx="189">
                  <c:v>912.64813225213504</c:v>
                </c:pt>
                <c:pt idx="190">
                  <c:v>912.64813225213504</c:v>
                </c:pt>
                <c:pt idx="191">
                  <c:v>912.64813225213504</c:v>
                </c:pt>
                <c:pt idx="192">
                  <c:v>912.64813225213504</c:v>
                </c:pt>
                <c:pt idx="193">
                  <c:v>912.64813225213504</c:v>
                </c:pt>
                <c:pt idx="194">
                  <c:v>912.64813225213504</c:v>
                </c:pt>
                <c:pt idx="195">
                  <c:v>912.64813225213504</c:v>
                </c:pt>
                <c:pt idx="196">
                  <c:v>912.64813225213504</c:v>
                </c:pt>
                <c:pt idx="197">
                  <c:v>912.64813225213504</c:v>
                </c:pt>
                <c:pt idx="198">
                  <c:v>912.64813225213504</c:v>
                </c:pt>
                <c:pt idx="199">
                  <c:v>912.64813225213504</c:v>
                </c:pt>
                <c:pt idx="200">
                  <c:v>912.64813225213504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1.6285034943697572</c:v>
                </c:pt>
                <c:pt idx="2">
                  <c:v>2.10834593559394</c:v>
                </c:pt>
                <c:pt idx="3">
                  <c:v>2.7301550598420192</c:v>
                </c:pt>
                <c:pt idx="4">
                  <c:v>3.5360954035455823</c:v>
                </c:pt>
                <c:pt idx="5">
                  <c:v>4.5808996351865483</c:v>
                </c:pt>
                <c:pt idx="6">
                  <c:v>5.9356273006078171</c:v>
                </c:pt>
                <c:pt idx="7">
                  <c:v>7.692551153663941</c:v>
                </c:pt>
                <c:pt idx="8">
                  <c:v>9.9715102890492897</c:v>
                </c:pt>
                <c:pt idx="9">
                  <c:v>12.928171603936716</c:v>
                </c:pt>
                <c:pt idx="10">
                  <c:v>16.764774353715051</c:v>
                </c:pt>
                <c:pt idx="11">
                  <c:v>21.744106104167642</c:v>
                </c:pt>
                <c:pt idx="12">
                  <c:v>28.207684431147282</c:v>
                </c:pt>
                <c:pt idx="13">
                  <c:v>36.599413200698606</c:v>
                </c:pt>
                <c:pt idx="14">
                  <c:v>47.496365935208495</c:v>
                </c:pt>
                <c:pt idx="15">
                  <c:v>61.64884869935576</c:v>
                </c:pt>
                <c:pt idx="16">
                  <c:v>89.122624817419606</c:v>
                </c:pt>
                <c:pt idx="17">
                  <c:v>116.38136504887065</c:v>
                </c:pt>
                <c:pt idx="18">
                  <c:v>143.48313931136238</c:v>
                </c:pt>
                <c:pt idx="19">
                  <c:v>170.46193674497437</c:v>
                </c:pt>
                <c:pt idx="20">
                  <c:v>197.34001206009097</c:v>
                </c:pt>
                <c:pt idx="21">
                  <c:v>184.22499057372553</c:v>
                </c:pt>
                <c:pt idx="22">
                  <c:v>215.83345410032075</c:v>
                </c:pt>
                <c:pt idx="23">
                  <c:v>247.33527237401009</c:v>
                </c:pt>
                <c:pt idx="24">
                  <c:v>278.74594298198662</c:v>
                </c:pt>
                <c:pt idx="25">
                  <c:v>310.07717798339257</c:v>
                </c:pt>
                <c:pt idx="26">
                  <c:v>263.46448239355612</c:v>
                </c:pt>
                <c:pt idx="27">
                  <c:v>296.2758548734829</c:v>
                </c:pt>
                <c:pt idx="28">
                  <c:v>329.00617208091745</c:v>
                </c:pt>
                <c:pt idx="29">
                  <c:v>361.66462434121917</c:v>
                </c:pt>
                <c:pt idx="30">
                  <c:v>394.25860629818544</c:v>
                </c:pt>
                <c:pt idx="31">
                  <c:v>346.88428679596865</c:v>
                </c:pt>
                <c:pt idx="32">
                  <c:v>378.48174040506427</c:v>
                </c:pt>
                <c:pt idx="33">
                  <c:v>410.02179129856216</c:v>
                </c:pt>
                <c:pt idx="34">
                  <c:v>441.50947017141607</c:v>
                </c:pt>
                <c:pt idx="35">
                  <c:v>472.94903211084278</c:v>
                </c:pt>
                <c:pt idx="36">
                  <c:v>424.545071417987</c:v>
                </c:pt>
                <c:pt idx="37">
                  <c:v>454.78506058806698</c:v>
                </c:pt>
                <c:pt idx="38">
                  <c:v>484.98209448278493</c:v>
                </c:pt>
                <c:pt idx="39">
                  <c:v>515.13922000966511</c:v>
                </c:pt>
                <c:pt idx="40">
                  <c:v>545.25909862367212</c:v>
                </c:pt>
                <c:pt idx="41">
                  <c:v>495.58224490397157</c:v>
                </c:pt>
                <c:pt idx="42">
                  <c:v>524.30111856958581</c:v>
                </c:pt>
                <c:pt idx="43">
                  <c:v>552.9868623362263</c:v>
                </c:pt>
                <c:pt idx="44">
                  <c:v>581.6414340654934</c:v>
                </c:pt>
                <c:pt idx="45">
                  <c:v>610.26658322144317</c:v>
                </c:pt>
                <c:pt idx="46">
                  <c:v>559.08612817799042</c:v>
                </c:pt>
                <c:pt idx="47">
                  <c:v>586.1096648062113</c:v>
                </c:pt>
                <c:pt idx="48">
                  <c:v>613.10725230610979</c:v>
                </c:pt>
                <c:pt idx="49">
                  <c:v>640.08019248318715</c:v>
                </c:pt>
                <c:pt idx="50">
                  <c:v>667.02966862520373</c:v>
                </c:pt>
                <c:pt idx="51">
                  <c:v>614.73036912240741</c:v>
                </c:pt>
                <c:pt idx="52">
                  <c:v>640.48561870423794</c:v>
                </c:pt>
                <c:pt idx="53">
                  <c:v>666.2194897168099</c:v>
                </c:pt>
                <c:pt idx="54">
                  <c:v>691.93292300583641</c:v>
                </c:pt>
                <c:pt idx="55">
                  <c:v>717.62678388294546</c:v>
                </c:pt>
                <c:pt idx="56">
                  <c:v>667.83982729366255</c:v>
                </c:pt>
                <c:pt idx="57">
                  <c:v>691.93292300583641</c:v>
                </c:pt>
                <c:pt idx="58">
                  <c:v>716.008835054629</c:v>
                </c:pt>
                <c:pt idx="59">
                  <c:v>740.06822179602466</c:v>
                </c:pt>
                <c:pt idx="60">
                  <c:v>764.11169534741384</c:v>
                </c:pt>
                <c:pt idx="61">
                  <c:v>720.05356754285856</c:v>
                </c:pt>
                <c:pt idx="62">
                  <c:v>742.69558339755292</c:v>
                </c:pt>
                <c:pt idx="63">
                  <c:v>765.32356041820628</c:v>
                </c:pt>
                <c:pt idx="64">
                  <c:v>787.93797157517736</c:v>
                </c:pt>
                <c:pt idx="65">
                  <c:v>810.53926051226051</c:v>
                </c:pt>
                <c:pt idx="66">
                  <c:v>769.76673318049586</c:v>
                </c:pt>
                <c:pt idx="67">
                  <c:v>791.57119539252324</c:v>
                </c:pt>
                <c:pt idx="68">
                  <c:v>813.36352001271541</c:v>
                </c:pt>
                <c:pt idx="69">
                  <c:v>835.1440775999223</c:v>
                </c:pt>
                <c:pt idx="70">
                  <c:v>856.91321783488991</c:v>
                </c:pt>
                <c:pt idx="71">
                  <c:v>816.99442040655003</c:v>
                </c:pt>
                <c:pt idx="72">
                  <c:v>837.56342857465359</c:v>
                </c:pt>
                <c:pt idx="73">
                  <c:v>858.12228647270933</c:v>
                </c:pt>
                <c:pt idx="74">
                  <c:v>878.67127120765053</c:v>
                </c:pt>
                <c:pt idx="75">
                  <c:v>899.21064588597574</c:v>
                </c:pt>
                <c:pt idx="76">
                  <c:v>859.53282338061706</c:v>
                </c:pt>
                <c:pt idx="77">
                  <c:v>878.26844314506661</c:v>
                </c:pt>
                <c:pt idx="78">
                  <c:v>896.99606989594133</c:v>
                </c:pt>
                <c:pt idx="79">
                  <c:v>915.7158938084259</c:v>
                </c:pt>
                <c:pt idx="80">
                  <c:v>934.42809665834204</c:v>
                </c:pt>
                <c:pt idx="81">
                  <c:v>877.05993677193362</c:v>
                </c:pt>
                <c:pt idx="82">
                  <c:v>877.05993677193362</c:v>
                </c:pt>
                <c:pt idx="83">
                  <c:v>877.05993677193362</c:v>
                </c:pt>
                <c:pt idx="84">
                  <c:v>877.05993677193362</c:v>
                </c:pt>
                <c:pt idx="85">
                  <c:v>877.05993677193362</c:v>
                </c:pt>
                <c:pt idx="86">
                  <c:v>877.05993677193362</c:v>
                </c:pt>
                <c:pt idx="87">
                  <c:v>877.05993677193362</c:v>
                </c:pt>
                <c:pt idx="88">
                  <c:v>877.05993677193362</c:v>
                </c:pt>
                <c:pt idx="89">
                  <c:v>877.05993677193362</c:v>
                </c:pt>
                <c:pt idx="90">
                  <c:v>877.05993677193362</c:v>
                </c:pt>
                <c:pt idx="91">
                  <c:v>877.05993677193362</c:v>
                </c:pt>
                <c:pt idx="92">
                  <c:v>877.05993677193362</c:v>
                </c:pt>
                <c:pt idx="93">
                  <c:v>877.05993677193362</c:v>
                </c:pt>
                <c:pt idx="94">
                  <c:v>877.05993677193362</c:v>
                </c:pt>
                <c:pt idx="95">
                  <c:v>877.05993677193362</c:v>
                </c:pt>
                <c:pt idx="96">
                  <c:v>877.05993677193362</c:v>
                </c:pt>
                <c:pt idx="97">
                  <c:v>877.05993677193362</c:v>
                </c:pt>
                <c:pt idx="98">
                  <c:v>877.05993677193362</c:v>
                </c:pt>
                <c:pt idx="99">
                  <c:v>877.05993677193362</c:v>
                </c:pt>
                <c:pt idx="100">
                  <c:v>877.05993677193362</c:v>
                </c:pt>
                <c:pt idx="101">
                  <c:v>877.05993677193362</c:v>
                </c:pt>
                <c:pt idx="102">
                  <c:v>877.05993677193362</c:v>
                </c:pt>
                <c:pt idx="103">
                  <c:v>877.05993677193362</c:v>
                </c:pt>
                <c:pt idx="104">
                  <c:v>877.05993677193362</c:v>
                </c:pt>
                <c:pt idx="105">
                  <c:v>877.05993677193362</c:v>
                </c:pt>
                <c:pt idx="106">
                  <c:v>877.05993677193362</c:v>
                </c:pt>
                <c:pt idx="107">
                  <c:v>877.05993677193362</c:v>
                </c:pt>
                <c:pt idx="108">
                  <c:v>877.05993677193362</c:v>
                </c:pt>
                <c:pt idx="109">
                  <c:v>877.05993677193362</c:v>
                </c:pt>
                <c:pt idx="110">
                  <c:v>877.05993677193362</c:v>
                </c:pt>
                <c:pt idx="111">
                  <c:v>877.05993677193362</c:v>
                </c:pt>
                <c:pt idx="112">
                  <c:v>877.05993677193362</c:v>
                </c:pt>
                <c:pt idx="113">
                  <c:v>877.05993677193362</c:v>
                </c:pt>
                <c:pt idx="114">
                  <c:v>877.05993677193362</c:v>
                </c:pt>
                <c:pt idx="115">
                  <c:v>877.05993677193362</c:v>
                </c:pt>
                <c:pt idx="116">
                  <c:v>877.05993677193362</c:v>
                </c:pt>
                <c:pt idx="117">
                  <c:v>877.05993677193362</c:v>
                </c:pt>
                <c:pt idx="118">
                  <c:v>877.05993677193362</c:v>
                </c:pt>
                <c:pt idx="119">
                  <c:v>877.05993677193362</c:v>
                </c:pt>
                <c:pt idx="120">
                  <c:v>877.05993677193362</c:v>
                </c:pt>
                <c:pt idx="121">
                  <c:v>877.05993677193362</c:v>
                </c:pt>
                <c:pt idx="122">
                  <c:v>877.05993677193362</c:v>
                </c:pt>
                <c:pt idx="123">
                  <c:v>877.05993677193362</c:v>
                </c:pt>
                <c:pt idx="124">
                  <c:v>877.05993677193362</c:v>
                </c:pt>
                <c:pt idx="125">
                  <c:v>877.05993677193362</c:v>
                </c:pt>
                <c:pt idx="126">
                  <c:v>877.05993677193362</c:v>
                </c:pt>
                <c:pt idx="127">
                  <c:v>877.05993677193362</c:v>
                </c:pt>
                <c:pt idx="128">
                  <c:v>877.05993677193362</c:v>
                </c:pt>
                <c:pt idx="129">
                  <c:v>877.05993677193362</c:v>
                </c:pt>
                <c:pt idx="130">
                  <c:v>877.05993677193362</c:v>
                </c:pt>
                <c:pt idx="131">
                  <c:v>877.05993677193362</c:v>
                </c:pt>
                <c:pt idx="132">
                  <c:v>877.05993677193362</c:v>
                </c:pt>
                <c:pt idx="133">
                  <c:v>877.05993677193362</c:v>
                </c:pt>
                <c:pt idx="134">
                  <c:v>877.05993677193362</c:v>
                </c:pt>
                <c:pt idx="135">
                  <c:v>877.05993677193362</c:v>
                </c:pt>
                <c:pt idx="136">
                  <c:v>877.05993677193362</c:v>
                </c:pt>
                <c:pt idx="137">
                  <c:v>877.05993677193362</c:v>
                </c:pt>
                <c:pt idx="138">
                  <c:v>877.05993677193362</c:v>
                </c:pt>
                <c:pt idx="139">
                  <c:v>877.05993677193362</c:v>
                </c:pt>
                <c:pt idx="140">
                  <c:v>877.05993677193362</c:v>
                </c:pt>
                <c:pt idx="141">
                  <c:v>877.05993677193362</c:v>
                </c:pt>
                <c:pt idx="142">
                  <c:v>877.05993677193362</c:v>
                </c:pt>
                <c:pt idx="143">
                  <c:v>877.05993677193362</c:v>
                </c:pt>
                <c:pt idx="144">
                  <c:v>877.05993677193362</c:v>
                </c:pt>
                <c:pt idx="145">
                  <c:v>877.05993677193362</c:v>
                </c:pt>
                <c:pt idx="146">
                  <c:v>877.05993677193362</c:v>
                </c:pt>
                <c:pt idx="147">
                  <c:v>877.05993677193362</c:v>
                </c:pt>
                <c:pt idx="148">
                  <c:v>877.05993677193362</c:v>
                </c:pt>
                <c:pt idx="149">
                  <c:v>877.05993677193362</c:v>
                </c:pt>
                <c:pt idx="150">
                  <c:v>877.05993677193362</c:v>
                </c:pt>
                <c:pt idx="151">
                  <c:v>877.05993677193362</c:v>
                </c:pt>
                <c:pt idx="152">
                  <c:v>877.05993677193362</c:v>
                </c:pt>
                <c:pt idx="153">
                  <c:v>877.05993677193362</c:v>
                </c:pt>
                <c:pt idx="154">
                  <c:v>877.05993677193362</c:v>
                </c:pt>
                <c:pt idx="155">
                  <c:v>877.05993677193362</c:v>
                </c:pt>
                <c:pt idx="156">
                  <c:v>877.05993677193362</c:v>
                </c:pt>
                <c:pt idx="157">
                  <c:v>877.05993677193362</c:v>
                </c:pt>
                <c:pt idx="158">
                  <c:v>877.05993677193362</c:v>
                </c:pt>
                <c:pt idx="159">
                  <c:v>877.05993677193362</c:v>
                </c:pt>
                <c:pt idx="160">
                  <c:v>877.05993677193362</c:v>
                </c:pt>
                <c:pt idx="161">
                  <c:v>877.05993677193362</c:v>
                </c:pt>
                <c:pt idx="162">
                  <c:v>877.05993677193362</c:v>
                </c:pt>
                <c:pt idx="163">
                  <c:v>877.05993677193362</c:v>
                </c:pt>
                <c:pt idx="164">
                  <c:v>877.05993677193362</c:v>
                </c:pt>
                <c:pt idx="165">
                  <c:v>877.05993677193362</c:v>
                </c:pt>
                <c:pt idx="166">
                  <c:v>877.05993677193362</c:v>
                </c:pt>
                <c:pt idx="167">
                  <c:v>877.05993677193362</c:v>
                </c:pt>
                <c:pt idx="168">
                  <c:v>877.05993677193362</c:v>
                </c:pt>
                <c:pt idx="169">
                  <c:v>877.05993677193362</c:v>
                </c:pt>
                <c:pt idx="170">
                  <c:v>877.05993677193362</c:v>
                </c:pt>
                <c:pt idx="171">
                  <c:v>877.05993677193362</c:v>
                </c:pt>
                <c:pt idx="172">
                  <c:v>877.05993677193362</c:v>
                </c:pt>
                <c:pt idx="173">
                  <c:v>877.05993677193362</c:v>
                </c:pt>
                <c:pt idx="174">
                  <c:v>877.05993677193362</c:v>
                </c:pt>
                <c:pt idx="175">
                  <c:v>877.05993677193362</c:v>
                </c:pt>
                <c:pt idx="176">
                  <c:v>877.05993677193362</c:v>
                </c:pt>
                <c:pt idx="177">
                  <c:v>877.05993677193362</c:v>
                </c:pt>
                <c:pt idx="178">
                  <c:v>877.05993677193362</c:v>
                </c:pt>
                <c:pt idx="179">
                  <c:v>877.05993677193362</c:v>
                </c:pt>
                <c:pt idx="180">
                  <c:v>877.05993677193362</c:v>
                </c:pt>
                <c:pt idx="181">
                  <c:v>877.05993677193362</c:v>
                </c:pt>
                <c:pt idx="182">
                  <c:v>877.05993677193362</c:v>
                </c:pt>
                <c:pt idx="183">
                  <c:v>877.05993677193362</c:v>
                </c:pt>
                <c:pt idx="184">
                  <c:v>877.05993677193362</c:v>
                </c:pt>
                <c:pt idx="185">
                  <c:v>877.05993677193362</c:v>
                </c:pt>
                <c:pt idx="186">
                  <c:v>877.05993677193362</c:v>
                </c:pt>
                <c:pt idx="187">
                  <c:v>877.05993677193362</c:v>
                </c:pt>
                <c:pt idx="188">
                  <c:v>877.05993677193362</c:v>
                </c:pt>
                <c:pt idx="189">
                  <c:v>877.05993677193362</c:v>
                </c:pt>
                <c:pt idx="190">
                  <c:v>877.05993677193362</c:v>
                </c:pt>
                <c:pt idx="191">
                  <c:v>877.05993677193362</c:v>
                </c:pt>
                <c:pt idx="192">
                  <c:v>877.05993677193362</c:v>
                </c:pt>
                <c:pt idx="193">
                  <c:v>877.05993677193362</c:v>
                </c:pt>
                <c:pt idx="194">
                  <c:v>877.05993677193362</c:v>
                </c:pt>
                <c:pt idx="195">
                  <c:v>877.05993677193362</c:v>
                </c:pt>
                <c:pt idx="196">
                  <c:v>877.05993677193362</c:v>
                </c:pt>
                <c:pt idx="197">
                  <c:v>877.05993677193362</c:v>
                </c:pt>
                <c:pt idx="198">
                  <c:v>877.05993677193362</c:v>
                </c:pt>
                <c:pt idx="199">
                  <c:v>877.05993677193362</c:v>
                </c:pt>
                <c:pt idx="200">
                  <c:v>877.05993677193362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523.12924541243819</c:v>
                </c:pt>
                <c:pt idx="117">
                  <c:v>523.12924541243819</c:v>
                </c:pt>
                <c:pt idx="118">
                  <c:v>523.12924541243819</c:v>
                </c:pt>
                <c:pt idx="119">
                  <c:v>523.12924541243819</c:v>
                </c:pt>
                <c:pt idx="120">
                  <c:v>523.12924541243819</c:v>
                </c:pt>
                <c:pt idx="121">
                  <c:v>523.12924541243819</c:v>
                </c:pt>
                <c:pt idx="122">
                  <c:v>523.12924541243819</c:v>
                </c:pt>
                <c:pt idx="123">
                  <c:v>523.12924541243819</c:v>
                </c:pt>
                <c:pt idx="124">
                  <c:v>523.12924541243819</c:v>
                </c:pt>
                <c:pt idx="125">
                  <c:v>523.12924541243819</c:v>
                </c:pt>
                <c:pt idx="126">
                  <c:v>523.12924541243819</c:v>
                </c:pt>
                <c:pt idx="127">
                  <c:v>523.12924541243819</c:v>
                </c:pt>
                <c:pt idx="128">
                  <c:v>523.12924541243819</c:v>
                </c:pt>
                <c:pt idx="129">
                  <c:v>523.12924541243819</c:v>
                </c:pt>
                <c:pt idx="130">
                  <c:v>523.12924541243819</c:v>
                </c:pt>
                <c:pt idx="131">
                  <c:v>523.12924541243819</c:v>
                </c:pt>
                <c:pt idx="132">
                  <c:v>523.12924541243819</c:v>
                </c:pt>
                <c:pt idx="133">
                  <c:v>523.12924541243819</c:v>
                </c:pt>
                <c:pt idx="134">
                  <c:v>523.12924541243819</c:v>
                </c:pt>
                <c:pt idx="135">
                  <c:v>523.12924541243819</c:v>
                </c:pt>
                <c:pt idx="136">
                  <c:v>523.12924541243819</c:v>
                </c:pt>
                <c:pt idx="137">
                  <c:v>523.12924541243819</c:v>
                </c:pt>
                <c:pt idx="138">
                  <c:v>523.12924541243819</c:v>
                </c:pt>
                <c:pt idx="139">
                  <c:v>523.12924541243819</c:v>
                </c:pt>
                <c:pt idx="140">
                  <c:v>523.12924541243819</c:v>
                </c:pt>
                <c:pt idx="141">
                  <c:v>523.12924541243819</c:v>
                </c:pt>
                <c:pt idx="142">
                  <c:v>523.12924541243819</c:v>
                </c:pt>
                <c:pt idx="143">
                  <c:v>523.12924541243819</c:v>
                </c:pt>
                <c:pt idx="144">
                  <c:v>523.12924541243819</c:v>
                </c:pt>
                <c:pt idx="145">
                  <c:v>523.12924541243819</c:v>
                </c:pt>
                <c:pt idx="146">
                  <c:v>523.12924541243819</c:v>
                </c:pt>
                <c:pt idx="147">
                  <c:v>523.12924541243819</c:v>
                </c:pt>
                <c:pt idx="148">
                  <c:v>523.12924541243819</c:v>
                </c:pt>
                <c:pt idx="149">
                  <c:v>523.12924541243819</c:v>
                </c:pt>
                <c:pt idx="150">
                  <c:v>523.12924541243819</c:v>
                </c:pt>
                <c:pt idx="151">
                  <c:v>523.12924541243819</c:v>
                </c:pt>
                <c:pt idx="152">
                  <c:v>523.12924541243819</c:v>
                </c:pt>
                <c:pt idx="153">
                  <c:v>523.12924541243819</c:v>
                </c:pt>
                <c:pt idx="154">
                  <c:v>523.12924541243819</c:v>
                </c:pt>
                <c:pt idx="155">
                  <c:v>523.12924541243819</c:v>
                </c:pt>
                <c:pt idx="156">
                  <c:v>523.12924541243819</c:v>
                </c:pt>
                <c:pt idx="157">
                  <c:v>523.12924541243819</c:v>
                </c:pt>
                <c:pt idx="158">
                  <c:v>523.12924541243819</c:v>
                </c:pt>
                <c:pt idx="159">
                  <c:v>523.12924541243819</c:v>
                </c:pt>
                <c:pt idx="160">
                  <c:v>523.12924541243819</c:v>
                </c:pt>
                <c:pt idx="161">
                  <c:v>523.12924541243819</c:v>
                </c:pt>
                <c:pt idx="162">
                  <c:v>523.12924541243819</c:v>
                </c:pt>
                <c:pt idx="163">
                  <c:v>523.12924541243819</c:v>
                </c:pt>
                <c:pt idx="164">
                  <c:v>523.12924541243819</c:v>
                </c:pt>
                <c:pt idx="165">
                  <c:v>523.12924541243819</c:v>
                </c:pt>
                <c:pt idx="166">
                  <c:v>523.12924541243819</c:v>
                </c:pt>
                <c:pt idx="167">
                  <c:v>523.12924541243819</c:v>
                </c:pt>
                <c:pt idx="168">
                  <c:v>523.12924541243819</c:v>
                </c:pt>
                <c:pt idx="169">
                  <c:v>523.12924541243819</c:v>
                </c:pt>
                <c:pt idx="170">
                  <c:v>523.12924541243819</c:v>
                </c:pt>
                <c:pt idx="171">
                  <c:v>523.12924541243819</c:v>
                </c:pt>
                <c:pt idx="172">
                  <c:v>523.12924541243819</c:v>
                </c:pt>
                <c:pt idx="173">
                  <c:v>523.12924541243819</c:v>
                </c:pt>
                <c:pt idx="174">
                  <c:v>523.12924541243819</c:v>
                </c:pt>
                <c:pt idx="175">
                  <c:v>523.12924541243819</c:v>
                </c:pt>
                <c:pt idx="176">
                  <c:v>523.12924541243819</c:v>
                </c:pt>
                <c:pt idx="177">
                  <c:v>523.12924541243819</c:v>
                </c:pt>
                <c:pt idx="178">
                  <c:v>523.12924541243819</c:v>
                </c:pt>
                <c:pt idx="179">
                  <c:v>523.12924541243819</c:v>
                </c:pt>
                <c:pt idx="180">
                  <c:v>523.12924541243819</c:v>
                </c:pt>
                <c:pt idx="181">
                  <c:v>523.12924541243819</c:v>
                </c:pt>
                <c:pt idx="182">
                  <c:v>523.12924541243819</c:v>
                </c:pt>
                <c:pt idx="183">
                  <c:v>523.12924541243819</c:v>
                </c:pt>
                <c:pt idx="184">
                  <c:v>523.12924541243819</c:v>
                </c:pt>
                <c:pt idx="185">
                  <c:v>523.12924541243819</c:v>
                </c:pt>
                <c:pt idx="186">
                  <c:v>523.12924541243819</c:v>
                </c:pt>
                <c:pt idx="187">
                  <c:v>523.12924541243819</c:v>
                </c:pt>
                <c:pt idx="188">
                  <c:v>523.12924541243819</c:v>
                </c:pt>
                <c:pt idx="189">
                  <c:v>523.12924541243819</c:v>
                </c:pt>
                <c:pt idx="190">
                  <c:v>523.12924541243819</c:v>
                </c:pt>
                <c:pt idx="191">
                  <c:v>523.12924541243819</c:v>
                </c:pt>
                <c:pt idx="192">
                  <c:v>523.12924541243819</c:v>
                </c:pt>
                <c:pt idx="193">
                  <c:v>523.12924541243819</c:v>
                </c:pt>
                <c:pt idx="194">
                  <c:v>523.12924541243819</c:v>
                </c:pt>
                <c:pt idx="195">
                  <c:v>523.12924541243819</c:v>
                </c:pt>
                <c:pt idx="196">
                  <c:v>523.12924541243819</c:v>
                </c:pt>
                <c:pt idx="197">
                  <c:v>523.12924541243819</c:v>
                </c:pt>
                <c:pt idx="198">
                  <c:v>523.12924541243819</c:v>
                </c:pt>
                <c:pt idx="199">
                  <c:v>523.12924541243819</c:v>
                </c:pt>
                <c:pt idx="200">
                  <c:v>523.12924541243819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209.11889593919318</c:v>
                </c:pt>
                <c:pt idx="12">
                  <c:v>230.94237558413718</c:v>
                </c:pt>
                <c:pt idx="13">
                  <c:v>252.71872074054355</c:v>
                </c:pt>
                <c:pt idx="14">
                  <c:v>274.45256324043959</c:v>
                </c:pt>
                <c:pt idx="15">
                  <c:v>296.14774103899623</c:v>
                </c:pt>
                <c:pt idx="16">
                  <c:v>317.59837130995112</c:v>
                </c:pt>
                <c:pt idx="17">
                  <c:v>339.0169247922546</c:v>
                </c:pt>
                <c:pt idx="18">
                  <c:v>360.40571193829396</c:v>
                </c:pt>
                <c:pt idx="19">
                  <c:v>220.51126127527394</c:v>
                </c:pt>
                <c:pt idx="20">
                  <c:v>228.41463048777482</c:v>
                </c:pt>
                <c:pt idx="21">
                  <c:v>236.3117437149856</c:v>
                </c:pt>
                <c:pt idx="22">
                  <c:v>244.20283975997833</c:v>
                </c:pt>
                <c:pt idx="23">
                  <c:v>169.1259798341832</c:v>
                </c:pt>
                <c:pt idx="24">
                  <c:v>179.61979491259885</c:v>
                </c:pt>
                <c:pt idx="25">
                  <c:v>190.09925047577488</c:v>
                </c:pt>
                <c:pt idx="26">
                  <c:v>200.56525039888083</c:v>
                </c:pt>
                <c:pt idx="27">
                  <c:v>211.01859640956005</c:v>
                </c:pt>
                <c:pt idx="28">
                  <c:v>159.41349443625651</c:v>
                </c:pt>
                <c:pt idx="29">
                  <c:v>168.17125020839597</c:v>
                </c:pt>
                <c:pt idx="30">
                  <c:v>176.91825435063029</c:v>
                </c:pt>
                <c:pt idx="31">
                  <c:v>185.65511405728049</c:v>
                </c:pt>
                <c:pt idx="32">
                  <c:v>194.38237462342545</c:v>
                </c:pt>
                <c:pt idx="33">
                  <c:v>203.10052831260927</c:v>
                </c:pt>
                <c:pt idx="34">
                  <c:v>211.81002161977344</c:v>
                </c:pt>
                <c:pt idx="35">
                  <c:v>220.51126127527394</c:v>
                </c:pt>
                <c:pt idx="36">
                  <c:v>231.25829908950217</c:v>
                </c:pt>
                <c:pt idx="37">
                  <c:v>241.9939262728623</c:v>
                </c:pt>
                <c:pt idx="38">
                  <c:v>252.71872074054355</c:v>
                </c:pt>
                <c:pt idx="39">
                  <c:v>263.43320731240294</c:v>
                </c:pt>
                <c:pt idx="40">
                  <c:v>274.1378645989617</c:v>
                </c:pt>
                <c:pt idx="41">
                  <c:v>286.7195866319293</c:v>
                </c:pt>
                <c:pt idx="42">
                  <c:v>299.28895999218304</c:v>
                </c:pt>
                <c:pt idx="43">
                  <c:v>311.8465765190731</c:v>
                </c:pt>
                <c:pt idx="44">
                  <c:v>324.39297647857364</c:v>
                </c:pt>
                <c:pt idx="45">
                  <c:v>336.92865492077664</c:v>
                </c:pt>
                <c:pt idx="46">
                  <c:v>351.01904297525971</c:v>
                </c:pt>
                <c:pt idx="47">
                  <c:v>365.09703181844549</c:v>
                </c:pt>
                <c:pt idx="48">
                  <c:v>379.16316689919205</c:v>
                </c:pt>
                <c:pt idx="49">
                  <c:v>393.21794989343471</c:v>
                </c:pt>
                <c:pt idx="50">
                  <c:v>407.26184368889881</c:v>
                </c:pt>
                <c:pt idx="51">
                  <c:v>407.26184368889881</c:v>
                </c:pt>
                <c:pt idx="52">
                  <c:v>407.26184368889881</c:v>
                </c:pt>
                <c:pt idx="53">
                  <c:v>407.26184368889881</c:v>
                </c:pt>
                <c:pt idx="54">
                  <c:v>407.26184368889881</c:v>
                </c:pt>
                <c:pt idx="55">
                  <c:v>407.26184368889881</c:v>
                </c:pt>
                <c:pt idx="56">
                  <c:v>407.26184368889881</c:v>
                </c:pt>
                <c:pt idx="57">
                  <c:v>407.26184368889881</c:v>
                </c:pt>
                <c:pt idx="58">
                  <c:v>407.26184368889881</c:v>
                </c:pt>
                <c:pt idx="59">
                  <c:v>407.26184368889881</c:v>
                </c:pt>
                <c:pt idx="60">
                  <c:v>407.26184368889881</c:v>
                </c:pt>
                <c:pt idx="61">
                  <c:v>407.26184368889881</c:v>
                </c:pt>
                <c:pt idx="62">
                  <c:v>407.26184368889881</c:v>
                </c:pt>
                <c:pt idx="63">
                  <c:v>407.26184368889881</c:v>
                </c:pt>
                <c:pt idx="64">
                  <c:v>407.26184368889881</c:v>
                </c:pt>
                <c:pt idx="65">
                  <c:v>407.26184368889881</c:v>
                </c:pt>
                <c:pt idx="66">
                  <c:v>407.26184368889881</c:v>
                </c:pt>
                <c:pt idx="67">
                  <c:v>407.26184368889881</c:v>
                </c:pt>
                <c:pt idx="68">
                  <c:v>407.26184368889881</c:v>
                </c:pt>
                <c:pt idx="69">
                  <c:v>407.26184368889881</c:v>
                </c:pt>
                <c:pt idx="70">
                  <c:v>407.26184368889881</c:v>
                </c:pt>
                <c:pt idx="71">
                  <c:v>407.26184368889881</c:v>
                </c:pt>
                <c:pt idx="72">
                  <c:v>407.26184368889881</c:v>
                </c:pt>
                <c:pt idx="73">
                  <c:v>407.26184368889881</c:v>
                </c:pt>
                <c:pt idx="74">
                  <c:v>407.26184368889881</c:v>
                </c:pt>
                <c:pt idx="75">
                  <c:v>407.26184368889881</c:v>
                </c:pt>
                <c:pt idx="76">
                  <c:v>407.26184368889881</c:v>
                </c:pt>
                <c:pt idx="77">
                  <c:v>407.26184368889881</c:v>
                </c:pt>
                <c:pt idx="78">
                  <c:v>407.26184368889881</c:v>
                </c:pt>
                <c:pt idx="79">
                  <c:v>407.26184368889881</c:v>
                </c:pt>
                <c:pt idx="80">
                  <c:v>407.26184368889881</c:v>
                </c:pt>
                <c:pt idx="81">
                  <c:v>407.26184368889881</c:v>
                </c:pt>
                <c:pt idx="82">
                  <c:v>407.26184368889881</c:v>
                </c:pt>
                <c:pt idx="83">
                  <c:v>407.26184368889881</c:v>
                </c:pt>
                <c:pt idx="84">
                  <c:v>407.26184368889881</c:v>
                </c:pt>
                <c:pt idx="85">
                  <c:v>407.26184368889881</c:v>
                </c:pt>
                <c:pt idx="86">
                  <c:v>407.26184368889881</c:v>
                </c:pt>
                <c:pt idx="87">
                  <c:v>407.26184368889881</c:v>
                </c:pt>
                <c:pt idx="88">
                  <c:v>407.26184368889881</c:v>
                </c:pt>
                <c:pt idx="89">
                  <c:v>407.26184368889881</c:v>
                </c:pt>
                <c:pt idx="90">
                  <c:v>407.26184368889881</c:v>
                </c:pt>
                <c:pt idx="91">
                  <c:v>407.26184368889881</c:v>
                </c:pt>
                <c:pt idx="92">
                  <c:v>407.26184368889881</c:v>
                </c:pt>
                <c:pt idx="93">
                  <c:v>407.26184368889881</c:v>
                </c:pt>
                <c:pt idx="94">
                  <c:v>407.26184368889881</c:v>
                </c:pt>
                <c:pt idx="95">
                  <c:v>407.26184368889881</c:v>
                </c:pt>
                <c:pt idx="96">
                  <c:v>407.26184368889881</c:v>
                </c:pt>
                <c:pt idx="97">
                  <c:v>407.26184368889881</c:v>
                </c:pt>
                <c:pt idx="98">
                  <c:v>407.26184368889881</c:v>
                </c:pt>
                <c:pt idx="99">
                  <c:v>407.26184368889881</c:v>
                </c:pt>
                <c:pt idx="100">
                  <c:v>407.26184368889881</c:v>
                </c:pt>
                <c:pt idx="101">
                  <c:v>407.26184368889881</c:v>
                </c:pt>
                <c:pt idx="102">
                  <c:v>407.26184368889881</c:v>
                </c:pt>
                <c:pt idx="103">
                  <c:v>407.26184368889881</c:v>
                </c:pt>
                <c:pt idx="104">
                  <c:v>407.26184368889881</c:v>
                </c:pt>
                <c:pt idx="105">
                  <c:v>407.26184368889881</c:v>
                </c:pt>
                <c:pt idx="106">
                  <c:v>407.26184368889881</c:v>
                </c:pt>
                <c:pt idx="107">
                  <c:v>407.26184368889881</c:v>
                </c:pt>
                <c:pt idx="108">
                  <c:v>407.26184368889881</c:v>
                </c:pt>
                <c:pt idx="109">
                  <c:v>407.26184368889881</c:v>
                </c:pt>
                <c:pt idx="110">
                  <c:v>407.26184368889881</c:v>
                </c:pt>
                <c:pt idx="111">
                  <c:v>407.26184368889881</c:v>
                </c:pt>
                <c:pt idx="112">
                  <c:v>407.26184368889881</c:v>
                </c:pt>
                <c:pt idx="113">
                  <c:v>407.26184368889881</c:v>
                </c:pt>
                <c:pt idx="114">
                  <c:v>407.26184368889881</c:v>
                </c:pt>
                <c:pt idx="115">
                  <c:v>407.26184368889881</c:v>
                </c:pt>
                <c:pt idx="116">
                  <c:v>407.26184368889881</c:v>
                </c:pt>
                <c:pt idx="117">
                  <c:v>407.26184368889881</c:v>
                </c:pt>
                <c:pt idx="118">
                  <c:v>407.26184368889881</c:v>
                </c:pt>
                <c:pt idx="119">
                  <c:v>407.26184368889881</c:v>
                </c:pt>
                <c:pt idx="120">
                  <c:v>407.26184368889881</c:v>
                </c:pt>
                <c:pt idx="121">
                  <c:v>407.26184368889881</c:v>
                </c:pt>
                <c:pt idx="122">
                  <c:v>407.26184368889881</c:v>
                </c:pt>
                <c:pt idx="123">
                  <c:v>407.26184368889881</c:v>
                </c:pt>
                <c:pt idx="124">
                  <c:v>407.26184368889881</c:v>
                </c:pt>
                <c:pt idx="125">
                  <c:v>407.26184368889881</c:v>
                </c:pt>
                <c:pt idx="126">
                  <c:v>407.26184368889881</c:v>
                </c:pt>
                <c:pt idx="127">
                  <c:v>407.26184368889881</c:v>
                </c:pt>
                <c:pt idx="128">
                  <c:v>407.26184368889881</c:v>
                </c:pt>
                <c:pt idx="129">
                  <c:v>407.26184368889881</c:v>
                </c:pt>
                <c:pt idx="130">
                  <c:v>407.26184368889881</c:v>
                </c:pt>
                <c:pt idx="131">
                  <c:v>407.26184368889881</c:v>
                </c:pt>
                <c:pt idx="132">
                  <c:v>407.26184368889881</c:v>
                </c:pt>
                <c:pt idx="133">
                  <c:v>407.26184368889881</c:v>
                </c:pt>
                <c:pt idx="134">
                  <c:v>407.26184368889881</c:v>
                </c:pt>
                <c:pt idx="135">
                  <c:v>407.26184368889881</c:v>
                </c:pt>
                <c:pt idx="136">
                  <c:v>407.26184368889881</c:v>
                </c:pt>
                <c:pt idx="137">
                  <c:v>407.26184368889881</c:v>
                </c:pt>
                <c:pt idx="138">
                  <c:v>407.26184368889881</c:v>
                </c:pt>
                <c:pt idx="139">
                  <c:v>407.26184368889881</c:v>
                </c:pt>
                <c:pt idx="140">
                  <c:v>407.26184368889881</c:v>
                </c:pt>
                <c:pt idx="141">
                  <c:v>407.26184368889881</c:v>
                </c:pt>
                <c:pt idx="142">
                  <c:v>407.26184368889881</c:v>
                </c:pt>
                <c:pt idx="143">
                  <c:v>407.26184368889881</c:v>
                </c:pt>
                <c:pt idx="144">
                  <c:v>407.26184368889881</c:v>
                </c:pt>
                <c:pt idx="145">
                  <c:v>407.26184368889881</c:v>
                </c:pt>
                <c:pt idx="146">
                  <c:v>407.26184368889881</c:v>
                </c:pt>
                <c:pt idx="147">
                  <c:v>407.26184368889881</c:v>
                </c:pt>
                <c:pt idx="148">
                  <c:v>407.26184368889881</c:v>
                </c:pt>
                <c:pt idx="149">
                  <c:v>407.26184368889881</c:v>
                </c:pt>
                <c:pt idx="150">
                  <c:v>407.26184368889881</c:v>
                </c:pt>
                <c:pt idx="151">
                  <c:v>407.26184368889881</c:v>
                </c:pt>
                <c:pt idx="152">
                  <c:v>407.26184368889881</c:v>
                </c:pt>
                <c:pt idx="153">
                  <c:v>407.26184368889881</c:v>
                </c:pt>
                <c:pt idx="154">
                  <c:v>407.26184368889881</c:v>
                </c:pt>
                <c:pt idx="155">
                  <c:v>407.26184368889881</c:v>
                </c:pt>
                <c:pt idx="156">
                  <c:v>407.26184368889881</c:v>
                </c:pt>
                <c:pt idx="157">
                  <c:v>407.26184368889881</c:v>
                </c:pt>
                <c:pt idx="158">
                  <c:v>407.26184368889881</c:v>
                </c:pt>
                <c:pt idx="159">
                  <c:v>407.26184368889881</c:v>
                </c:pt>
                <c:pt idx="160">
                  <c:v>407.26184368889881</c:v>
                </c:pt>
                <c:pt idx="161">
                  <c:v>407.26184368889881</c:v>
                </c:pt>
                <c:pt idx="162">
                  <c:v>407.26184368889881</c:v>
                </c:pt>
                <c:pt idx="163">
                  <c:v>407.26184368889881</c:v>
                </c:pt>
                <c:pt idx="164">
                  <c:v>407.26184368889881</c:v>
                </c:pt>
                <c:pt idx="165">
                  <c:v>407.26184368889881</c:v>
                </c:pt>
                <c:pt idx="166">
                  <c:v>407.26184368889881</c:v>
                </c:pt>
                <c:pt idx="167">
                  <c:v>407.26184368889881</c:v>
                </c:pt>
                <c:pt idx="168">
                  <c:v>407.26184368889881</c:v>
                </c:pt>
                <c:pt idx="169">
                  <c:v>407.26184368889881</c:v>
                </c:pt>
                <c:pt idx="170">
                  <c:v>407.26184368889881</c:v>
                </c:pt>
                <c:pt idx="171">
                  <c:v>407.26184368889881</c:v>
                </c:pt>
                <c:pt idx="172">
                  <c:v>407.26184368889881</c:v>
                </c:pt>
                <c:pt idx="173">
                  <c:v>407.26184368889881</c:v>
                </c:pt>
                <c:pt idx="174">
                  <c:v>407.26184368889881</c:v>
                </c:pt>
                <c:pt idx="175">
                  <c:v>407.26184368889881</c:v>
                </c:pt>
                <c:pt idx="176">
                  <c:v>407.26184368889881</c:v>
                </c:pt>
                <c:pt idx="177">
                  <c:v>407.26184368889881</c:v>
                </c:pt>
                <c:pt idx="178">
                  <c:v>407.26184368889881</c:v>
                </c:pt>
                <c:pt idx="179">
                  <c:v>407.26184368889881</c:v>
                </c:pt>
                <c:pt idx="180">
                  <c:v>407.26184368889881</c:v>
                </c:pt>
                <c:pt idx="181">
                  <c:v>407.26184368889881</c:v>
                </c:pt>
                <c:pt idx="182">
                  <c:v>407.26184368889881</c:v>
                </c:pt>
                <c:pt idx="183">
                  <c:v>407.26184368889881</c:v>
                </c:pt>
                <c:pt idx="184">
                  <c:v>407.26184368889881</c:v>
                </c:pt>
                <c:pt idx="185">
                  <c:v>407.26184368889881</c:v>
                </c:pt>
                <c:pt idx="186">
                  <c:v>407.26184368889881</c:v>
                </c:pt>
                <c:pt idx="187">
                  <c:v>407.26184368889881</c:v>
                </c:pt>
                <c:pt idx="188">
                  <c:v>407.26184368889881</c:v>
                </c:pt>
                <c:pt idx="189">
                  <c:v>407.26184368889881</c:v>
                </c:pt>
                <c:pt idx="190">
                  <c:v>407.26184368889881</c:v>
                </c:pt>
                <c:pt idx="191">
                  <c:v>407.26184368889881</c:v>
                </c:pt>
                <c:pt idx="192">
                  <c:v>407.26184368889881</c:v>
                </c:pt>
                <c:pt idx="193">
                  <c:v>407.26184368889881</c:v>
                </c:pt>
                <c:pt idx="194">
                  <c:v>407.26184368889881</c:v>
                </c:pt>
                <c:pt idx="195">
                  <c:v>407.26184368889881</c:v>
                </c:pt>
                <c:pt idx="196">
                  <c:v>407.26184368889881</c:v>
                </c:pt>
                <c:pt idx="197">
                  <c:v>407.26184368889881</c:v>
                </c:pt>
                <c:pt idx="198">
                  <c:v>407.26184368889881</c:v>
                </c:pt>
                <c:pt idx="199">
                  <c:v>407.26184368889881</c:v>
                </c:pt>
                <c:pt idx="200">
                  <c:v>407.26184368889881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229.35588657979122</c:v>
                </c:pt>
                <c:pt idx="37">
                  <c:v>247.82742956082612</c:v>
                </c:pt>
                <c:pt idx="38">
                  <c:v>266.26773098057953</c:v>
                </c:pt>
                <c:pt idx="39">
                  <c:v>284.67925856397056</c:v>
                </c:pt>
                <c:pt idx="40">
                  <c:v>303.06413469570208</c:v>
                </c:pt>
                <c:pt idx="41">
                  <c:v>272.53076596771507</c:v>
                </c:pt>
                <c:pt idx="42">
                  <c:v>293.50720582421621</c:v>
                </c:pt>
                <c:pt idx="43">
                  <c:v>314.45019220953321</c:v>
                </c:pt>
                <c:pt idx="44">
                  <c:v>335.36226553348382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723.64971039145041</c:v>
                </c:pt>
                <c:pt idx="107">
                  <c:v>735.1898925629672</c:v>
                </c:pt>
                <c:pt idx="108">
                  <c:v>746.72638619800034</c:v>
                </c:pt>
                <c:pt idx="109">
                  <c:v>758.25925628282687</c:v>
                </c:pt>
                <c:pt idx="110">
                  <c:v>769.78856566682896</c:v>
                </c:pt>
                <c:pt idx="111">
                  <c:v>740.59807920780031</c:v>
                </c:pt>
                <c:pt idx="112">
                  <c:v>751.05163369335958</c:v>
                </c:pt>
                <c:pt idx="113">
                  <c:v>761.5022317800366</c:v>
                </c:pt>
                <c:pt idx="114">
                  <c:v>771.94991973942808</c:v>
                </c:pt>
                <c:pt idx="115">
                  <c:v>782.39474248915565</c:v>
                </c:pt>
                <c:pt idx="116">
                  <c:v>744.56357158364483</c:v>
                </c:pt>
                <c:pt idx="117">
                  <c:v>744.56357158364483</c:v>
                </c:pt>
                <c:pt idx="118">
                  <c:v>744.56357158364483</c:v>
                </c:pt>
                <c:pt idx="119">
                  <c:v>744.56357158364483</c:v>
                </c:pt>
                <c:pt idx="120">
                  <c:v>744.56357158364483</c:v>
                </c:pt>
                <c:pt idx="121">
                  <c:v>744.56357158364483</c:v>
                </c:pt>
                <c:pt idx="122">
                  <c:v>744.56357158364483</c:v>
                </c:pt>
                <c:pt idx="123">
                  <c:v>744.56357158364483</c:v>
                </c:pt>
                <c:pt idx="124">
                  <c:v>744.56357158364483</c:v>
                </c:pt>
                <c:pt idx="125">
                  <c:v>744.56357158364483</c:v>
                </c:pt>
                <c:pt idx="126">
                  <c:v>744.56357158364483</c:v>
                </c:pt>
                <c:pt idx="127">
                  <c:v>744.56357158364483</c:v>
                </c:pt>
                <c:pt idx="128">
                  <c:v>744.56357158364483</c:v>
                </c:pt>
                <c:pt idx="129">
                  <c:v>744.56357158364483</c:v>
                </c:pt>
                <c:pt idx="130">
                  <c:v>744.56357158364483</c:v>
                </c:pt>
                <c:pt idx="131">
                  <c:v>744.56357158364483</c:v>
                </c:pt>
                <c:pt idx="132">
                  <c:v>744.56357158364483</c:v>
                </c:pt>
                <c:pt idx="133">
                  <c:v>744.56357158364483</c:v>
                </c:pt>
                <c:pt idx="134">
                  <c:v>744.56357158364483</c:v>
                </c:pt>
                <c:pt idx="135">
                  <c:v>744.56357158364483</c:v>
                </c:pt>
                <c:pt idx="136">
                  <c:v>744.56357158364483</c:v>
                </c:pt>
                <c:pt idx="137">
                  <c:v>744.56357158364483</c:v>
                </c:pt>
                <c:pt idx="138">
                  <c:v>744.56357158364483</c:v>
                </c:pt>
                <c:pt idx="139">
                  <c:v>744.56357158364483</c:v>
                </c:pt>
                <c:pt idx="140">
                  <c:v>744.56357158364483</c:v>
                </c:pt>
                <c:pt idx="141">
                  <c:v>744.56357158364483</c:v>
                </c:pt>
                <c:pt idx="142">
                  <c:v>744.56357158364483</c:v>
                </c:pt>
                <c:pt idx="143">
                  <c:v>744.56357158364483</c:v>
                </c:pt>
                <c:pt idx="144">
                  <c:v>744.56357158364483</c:v>
                </c:pt>
                <c:pt idx="145">
                  <c:v>744.56357158364483</c:v>
                </c:pt>
                <c:pt idx="146">
                  <c:v>744.56357158364483</c:v>
                </c:pt>
                <c:pt idx="147">
                  <c:v>744.56357158364483</c:v>
                </c:pt>
                <c:pt idx="148">
                  <c:v>744.56357158364483</c:v>
                </c:pt>
                <c:pt idx="149">
                  <c:v>744.56357158364483</c:v>
                </c:pt>
                <c:pt idx="150">
                  <c:v>744.56357158364483</c:v>
                </c:pt>
                <c:pt idx="151">
                  <c:v>744.56357158364483</c:v>
                </c:pt>
                <c:pt idx="152">
                  <c:v>744.56357158364483</c:v>
                </c:pt>
                <c:pt idx="153">
                  <c:v>744.56357158364483</c:v>
                </c:pt>
                <c:pt idx="154">
                  <c:v>744.56357158364483</c:v>
                </c:pt>
                <c:pt idx="155">
                  <c:v>744.56357158364483</c:v>
                </c:pt>
                <c:pt idx="156">
                  <c:v>744.56357158364483</c:v>
                </c:pt>
                <c:pt idx="157">
                  <c:v>744.56357158364483</c:v>
                </c:pt>
                <c:pt idx="158">
                  <c:v>744.56357158364483</c:v>
                </c:pt>
                <c:pt idx="159">
                  <c:v>744.56357158364483</c:v>
                </c:pt>
                <c:pt idx="160">
                  <c:v>744.56357158364483</c:v>
                </c:pt>
                <c:pt idx="161">
                  <c:v>744.56357158364483</c:v>
                </c:pt>
                <c:pt idx="162">
                  <c:v>744.56357158364483</c:v>
                </c:pt>
                <c:pt idx="163">
                  <c:v>744.56357158364483</c:v>
                </c:pt>
                <c:pt idx="164">
                  <c:v>744.56357158364483</c:v>
                </c:pt>
                <c:pt idx="165">
                  <c:v>744.56357158364483</c:v>
                </c:pt>
                <c:pt idx="166">
                  <c:v>744.56357158364483</c:v>
                </c:pt>
                <c:pt idx="167">
                  <c:v>744.56357158364483</c:v>
                </c:pt>
                <c:pt idx="168">
                  <c:v>744.56357158364483</c:v>
                </c:pt>
                <c:pt idx="169">
                  <c:v>744.56357158364483</c:v>
                </c:pt>
                <c:pt idx="170">
                  <c:v>744.56357158364483</c:v>
                </c:pt>
                <c:pt idx="171">
                  <c:v>744.56357158364483</c:v>
                </c:pt>
                <c:pt idx="172">
                  <c:v>744.56357158364483</c:v>
                </c:pt>
                <c:pt idx="173">
                  <c:v>744.56357158364483</c:v>
                </c:pt>
                <c:pt idx="174">
                  <c:v>744.56357158364483</c:v>
                </c:pt>
                <c:pt idx="175">
                  <c:v>744.56357158364483</c:v>
                </c:pt>
                <c:pt idx="176">
                  <c:v>744.56357158364483</c:v>
                </c:pt>
                <c:pt idx="177">
                  <c:v>744.56357158364483</c:v>
                </c:pt>
                <c:pt idx="178">
                  <c:v>744.56357158364483</c:v>
                </c:pt>
                <c:pt idx="179">
                  <c:v>744.56357158364483</c:v>
                </c:pt>
                <c:pt idx="180">
                  <c:v>744.56357158364483</c:v>
                </c:pt>
                <c:pt idx="181">
                  <c:v>744.56357158364483</c:v>
                </c:pt>
                <c:pt idx="182">
                  <c:v>744.56357158364483</c:v>
                </c:pt>
                <c:pt idx="183">
                  <c:v>744.56357158364483</c:v>
                </c:pt>
                <c:pt idx="184">
                  <c:v>744.56357158364483</c:v>
                </c:pt>
                <c:pt idx="185">
                  <c:v>744.56357158364483</c:v>
                </c:pt>
                <c:pt idx="186">
                  <c:v>744.56357158364483</c:v>
                </c:pt>
                <c:pt idx="187">
                  <c:v>744.56357158364483</c:v>
                </c:pt>
                <c:pt idx="188">
                  <c:v>744.56357158364483</c:v>
                </c:pt>
                <c:pt idx="189">
                  <c:v>744.56357158364483</c:v>
                </c:pt>
                <c:pt idx="190">
                  <c:v>744.56357158364483</c:v>
                </c:pt>
                <c:pt idx="191">
                  <c:v>744.56357158364483</c:v>
                </c:pt>
                <c:pt idx="192">
                  <c:v>744.56357158364483</c:v>
                </c:pt>
                <c:pt idx="193">
                  <c:v>744.56357158364483</c:v>
                </c:pt>
                <c:pt idx="194">
                  <c:v>744.56357158364483</c:v>
                </c:pt>
                <c:pt idx="195">
                  <c:v>744.56357158364483</c:v>
                </c:pt>
                <c:pt idx="196">
                  <c:v>744.56357158364483</c:v>
                </c:pt>
                <c:pt idx="197">
                  <c:v>744.56357158364483</c:v>
                </c:pt>
                <c:pt idx="198">
                  <c:v>744.56357158364483</c:v>
                </c:pt>
                <c:pt idx="199">
                  <c:v>744.56357158364483</c:v>
                </c:pt>
                <c:pt idx="200">
                  <c:v>744.56357158364483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2" t="s">
        <v>291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 x14ac:dyDescent="0.3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 x14ac:dyDescent="0.3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 x14ac:dyDescent="0.3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 x14ac:dyDescent="0.3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 x14ac:dyDescent="0.3">
      <c r="B18" s="262" t="s">
        <v>292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 x14ac:dyDescent="0.3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 x14ac:dyDescent="0.3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 x14ac:dyDescent="0.3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 x14ac:dyDescent="0.3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 x14ac:dyDescent="0.3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 x14ac:dyDescent="0.3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 x14ac:dyDescent="0.3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 x14ac:dyDescent="0.3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 x14ac:dyDescent="0.3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 x14ac:dyDescent="0.3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 x14ac:dyDescent="0.3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 x14ac:dyDescent="0.3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 x14ac:dyDescent="0.3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6" zoomScaleNormal="100" workbookViewId="0">
      <selection activeCell="B51" sqref="B5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6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8" t="s">
        <v>192</v>
      </c>
      <c r="C3" s="269"/>
      <c r="D3" s="269"/>
      <c r="E3" s="269"/>
      <c r="F3" s="270"/>
      <c r="G3" s="84"/>
      <c r="I3" s="206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5"/>
      <c r="B4" s="85"/>
      <c r="C4" s="85"/>
      <c r="D4" s="85"/>
      <c r="E4" s="85"/>
      <c r="F4" s="85"/>
      <c r="G4" s="213"/>
      <c r="I4" s="206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3" t="s">
        <v>231</v>
      </c>
      <c r="B5" s="273"/>
      <c r="C5" s="24">
        <v>10.1</v>
      </c>
      <c r="D5" s="274" t="s">
        <v>229</v>
      </c>
      <c r="E5" s="275"/>
      <c r="F5" s="85"/>
      <c r="G5" s="213"/>
      <c r="H5" s="213"/>
      <c r="I5" s="213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6"/>
      <c r="B6" s="86"/>
      <c r="C6" s="4"/>
      <c r="D6" s="83"/>
      <c r="E6" s="83"/>
      <c r="F6" s="26"/>
      <c r="G6" s="200"/>
      <c r="H6" s="200"/>
      <c r="I6" s="200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2" t="s">
        <v>226</v>
      </c>
      <c r="B7" s="272"/>
      <c r="C7" s="85"/>
      <c r="D7" s="85"/>
      <c r="E7" s="4"/>
      <c r="F7" s="85"/>
      <c r="G7" s="213"/>
      <c r="H7" s="213"/>
      <c r="I7" s="213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0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252">
        <v>0.28571428571428575</v>
      </c>
      <c r="D9" s="33">
        <f t="shared" ref="D9:D18" si="0">C9*$C$5</f>
        <v>2.8857142857142861</v>
      </c>
      <c r="E9" s="253">
        <v>60</v>
      </c>
      <c r="F9" s="35" t="str">
        <f t="array" ref="F9">IF(E9="","",IF(INDEX(A:A,MAX(IF(ISNUMBER($A$36:$A$55),ROW($A$36:$A$55),"")))&lt;&gt;E9,"Corrigez : révolution incorrecte","OK"))</f>
        <v>OK</v>
      </c>
      <c r="G9" s="223" t="s">
        <v>306</v>
      </c>
      <c r="I9" s="221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252">
        <v>0.14285714285714288</v>
      </c>
      <c r="D10" s="33">
        <f t="shared" si="0"/>
        <v>1.4428571428571431</v>
      </c>
      <c r="E10" s="253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1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45</v>
      </c>
      <c r="C11" s="252">
        <v>0.14285714285714288</v>
      </c>
      <c r="D11" s="33">
        <f t="shared" si="0"/>
        <v>1.4428571428571431</v>
      </c>
      <c r="E11" s="253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1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36</v>
      </c>
      <c r="C12" s="252">
        <v>0.14285714285714288</v>
      </c>
      <c r="D12" s="33">
        <f t="shared" si="0"/>
        <v>1.4428571428571431</v>
      </c>
      <c r="E12" s="253">
        <v>30</v>
      </c>
      <c r="F12" s="35" t="str">
        <f t="array" ref="F12">IF(E12="","",IF(INDEX(A:A,MAX(IF(ISNUMBER($A$114:$A$133),ROW($A$114:$A$133),"")))&lt;&gt;E12,"Corrigez : révolution incorrecte","OK"))</f>
        <v>OK</v>
      </c>
      <c r="I12" s="221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14</v>
      </c>
      <c r="C13" s="252">
        <v>9.5214285714285724E-2</v>
      </c>
      <c r="D13" s="33">
        <f t="shared" si="0"/>
        <v>0.96166428571428575</v>
      </c>
      <c r="E13" s="253">
        <v>115</v>
      </c>
      <c r="F13" s="35" t="str">
        <f t="array" ref="F13">IF(E13="","",IF(INDEX(A:A,MAX(IF(ISNUMBER($A$140:$A$159),ROW($A$140:$A$159),"")))&lt;&gt;E13,"Corrigez : révolution incorrecte","OK"))</f>
        <v>OK</v>
      </c>
      <c r="I13" s="221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8</v>
      </c>
      <c r="C14" s="252">
        <v>9.5214285714285724E-2</v>
      </c>
      <c r="D14" s="33">
        <f t="shared" si="0"/>
        <v>0.96166428571428575</v>
      </c>
      <c r="E14" s="253">
        <v>50</v>
      </c>
      <c r="F14" s="35" t="str">
        <f t="array" ref="F14">IF(E14="","",IF(INDEX(A:A,MAX(IF(ISNUMBER($A$166:$A$185),ROW($A$166:$A$185),"")))&lt;&gt;E14,"Corrigez : révolution incorrecte","OK"))</f>
        <v>OK</v>
      </c>
      <c r="I14" s="221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25</v>
      </c>
      <c r="C15" s="252">
        <v>9.5285714285714279E-2</v>
      </c>
      <c r="D15" s="33">
        <f t="shared" si="0"/>
        <v>0.96238571428571418</v>
      </c>
      <c r="E15" s="253">
        <v>115</v>
      </c>
      <c r="F15" s="35" t="str">
        <f t="array" ref="F15">IF(E15="","",IF(INDEX(A:A,MAX(IF(ISNUMBER($A$192:$A$211),ROW($A$192:$A$211),"")))&lt;&gt;E15,"Corrigez : révolution incorrecte","OK"))</f>
        <v>OK</v>
      </c>
      <c r="I15" s="221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1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1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G18" s="23" t="s">
        <v>324</v>
      </c>
      <c r="I18" s="221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5"/>
      <c r="B19" s="36" t="s">
        <v>175</v>
      </c>
      <c r="C19" s="37">
        <f>SUM(C9:C18)</f>
        <v>1</v>
      </c>
      <c r="D19" s="38">
        <f>SUM(D9:D18)</f>
        <v>10.1</v>
      </c>
      <c r="E19" s="4"/>
      <c r="F19" s="87"/>
      <c r="G19" s="214"/>
      <c r="H19" s="214"/>
      <c r="I19" s="21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5"/>
      <c r="B20" s="39" t="s">
        <v>230</v>
      </c>
      <c r="C20" s="40" t="str">
        <f>IF(C19&gt;100%,"Erreur : corrigez","OK")</f>
        <v>OK</v>
      </c>
      <c r="D20" s="217"/>
      <c r="F20" s="200"/>
      <c r="G20" s="200"/>
      <c r="H20" s="214"/>
      <c r="I20" s="21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5"/>
      <c r="I21" s="21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1" t="s">
        <v>232</v>
      </c>
      <c r="B22" s="271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88"/>
      <c r="F24" s="88"/>
      <c r="G24" s="197"/>
      <c r="I24" s="197"/>
      <c r="J24" s="216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89"/>
      <c r="E25" s="4"/>
      <c r="F25" s="89"/>
      <c r="G25" s="216"/>
      <c r="I25" s="216"/>
      <c r="J25" s="216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88"/>
      <c r="F26" s="88"/>
      <c r="G26" s="197"/>
      <c r="I26" s="197"/>
      <c r="J26" s="197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88"/>
      <c r="F27" s="88"/>
      <c r="G27" s="197"/>
      <c r="I27" s="197"/>
      <c r="J27" s="197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2" t="s">
        <v>227</v>
      </c>
      <c r="B30" s="272"/>
      <c r="D30" s="218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18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4" t="s">
        <v>307</v>
      </c>
      <c r="K32" s="218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18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2" t="s">
        <v>185</v>
      </c>
      <c r="C34" s="264" t="s">
        <v>186</v>
      </c>
      <c r="D34" s="264"/>
      <c r="E34" s="265" t="s">
        <v>187</v>
      </c>
      <c r="F34" s="266"/>
      <c r="G34" s="266"/>
      <c r="H34" s="267"/>
      <c r="I34" s="90"/>
      <c r="J34" s="218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19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4">
        <v>19</v>
      </c>
      <c r="B36" s="254">
        <v>162</v>
      </c>
      <c r="C36" s="254"/>
      <c r="D36" s="254">
        <v>0</v>
      </c>
      <c r="E36" s="255"/>
      <c r="F36" s="255"/>
      <c r="G36" s="255"/>
      <c r="H36" s="255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4">
        <v>25</v>
      </c>
      <c r="B37" s="254">
        <v>335</v>
      </c>
      <c r="C37" s="254">
        <v>1</v>
      </c>
      <c r="D37" s="254">
        <v>54</v>
      </c>
      <c r="E37" s="255"/>
      <c r="F37" s="255"/>
      <c r="G37" s="255">
        <v>1</v>
      </c>
      <c r="H37" s="255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4">
        <v>30</v>
      </c>
      <c r="B38" s="254">
        <v>421</v>
      </c>
      <c r="C38" s="254">
        <v>2</v>
      </c>
      <c r="D38" s="254">
        <v>54</v>
      </c>
      <c r="E38" s="255"/>
      <c r="F38" s="255">
        <v>1</v>
      </c>
      <c r="G38" s="255"/>
      <c r="H38" s="255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4">
        <v>35</v>
      </c>
      <c r="B39" s="254">
        <v>505</v>
      </c>
      <c r="C39" s="254">
        <v>3</v>
      </c>
      <c r="D39" s="254">
        <v>69</v>
      </c>
      <c r="E39" s="255">
        <v>1</v>
      </c>
      <c r="F39" s="255"/>
      <c r="G39" s="255"/>
      <c r="H39" s="255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4">
        <v>40</v>
      </c>
      <c r="B40" s="254">
        <v>564</v>
      </c>
      <c r="C40" s="254">
        <v>4</v>
      </c>
      <c r="D40" s="254">
        <v>72</v>
      </c>
      <c r="E40" s="255">
        <v>1</v>
      </c>
      <c r="F40" s="255"/>
      <c r="G40" s="255"/>
      <c r="H40" s="255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4">
        <v>45</v>
      </c>
      <c r="B41" s="254">
        <v>606</v>
      </c>
      <c r="C41" s="254">
        <v>5</v>
      </c>
      <c r="D41" s="254">
        <v>66</v>
      </c>
      <c r="E41" s="255">
        <v>1</v>
      </c>
      <c r="F41" s="255"/>
      <c r="G41" s="255"/>
      <c r="H41" s="255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4">
        <v>50</v>
      </c>
      <c r="B42" s="254">
        <v>629</v>
      </c>
      <c r="C42" s="254">
        <v>6</v>
      </c>
      <c r="D42" s="254">
        <v>48</v>
      </c>
      <c r="E42" s="255">
        <v>1</v>
      </c>
      <c r="F42" s="255"/>
      <c r="G42" s="255"/>
      <c r="H42" s="255"/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4">
        <v>55</v>
      </c>
      <c r="B43" s="254">
        <v>650</v>
      </c>
      <c r="C43" s="254">
        <v>7</v>
      </c>
      <c r="D43" s="254">
        <v>35</v>
      </c>
      <c r="E43" s="255">
        <v>1</v>
      </c>
      <c r="F43" s="255"/>
      <c r="G43" s="255"/>
      <c r="H43" s="255"/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4">
        <v>60</v>
      </c>
      <c r="B44" s="254">
        <v>666</v>
      </c>
      <c r="C44" s="254">
        <v>8</v>
      </c>
      <c r="D44" s="254">
        <v>29</v>
      </c>
      <c r="E44" s="255">
        <v>1</v>
      </c>
      <c r="F44" s="255"/>
      <c r="G44" s="255"/>
      <c r="H44" s="255"/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6"/>
      <c r="B45" s="256"/>
      <c r="C45" s="256"/>
      <c r="D45" s="256"/>
      <c r="E45" s="255"/>
      <c r="F45" s="255"/>
      <c r="G45" s="255"/>
      <c r="H45" s="255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7"/>
      <c r="B46" s="257"/>
      <c r="C46" s="257"/>
      <c r="D46" s="257"/>
      <c r="E46" s="255"/>
      <c r="F46" s="255"/>
      <c r="G46" s="255"/>
      <c r="H46" s="255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8"/>
      <c r="B47" s="258"/>
      <c r="C47" s="258"/>
      <c r="D47" s="258"/>
      <c r="E47" s="255"/>
      <c r="F47" s="255"/>
      <c r="G47" s="255"/>
      <c r="H47" s="255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8"/>
      <c r="B48" s="258"/>
      <c r="C48" s="258"/>
      <c r="D48" s="258"/>
      <c r="E48" s="255"/>
      <c r="F48" s="255"/>
      <c r="G48" s="255"/>
      <c r="H48" s="255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8"/>
      <c r="B49" s="258"/>
      <c r="C49" s="258"/>
      <c r="D49" s="258"/>
      <c r="E49" s="255"/>
      <c r="F49" s="255"/>
      <c r="G49" s="255"/>
      <c r="H49" s="255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58"/>
      <c r="B50" s="258"/>
      <c r="C50" s="258"/>
      <c r="D50" s="258"/>
      <c r="E50" s="255"/>
      <c r="F50" s="255"/>
      <c r="G50" s="255"/>
      <c r="H50" s="255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58"/>
      <c r="B51" s="258"/>
      <c r="C51" s="258"/>
      <c r="D51" s="258"/>
      <c r="E51" s="255"/>
      <c r="F51" s="255"/>
      <c r="G51" s="255"/>
      <c r="H51" s="255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58"/>
      <c r="B52" s="258"/>
      <c r="C52" s="258"/>
      <c r="D52" s="258"/>
      <c r="E52" s="255"/>
      <c r="F52" s="255"/>
      <c r="G52" s="255"/>
      <c r="H52" s="255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58"/>
      <c r="B53" s="258"/>
      <c r="C53" s="258"/>
      <c r="D53" s="258"/>
      <c r="E53" s="255"/>
      <c r="F53" s="255"/>
      <c r="G53" s="255"/>
      <c r="H53" s="255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58"/>
      <c r="B54" s="258"/>
      <c r="C54" s="258"/>
      <c r="D54" s="258"/>
      <c r="E54" s="255"/>
      <c r="F54" s="255"/>
      <c r="G54" s="255"/>
      <c r="H54" s="255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58"/>
      <c r="B55" s="258"/>
      <c r="C55" s="258"/>
      <c r="D55" s="258"/>
      <c r="E55" s="255"/>
      <c r="F55" s="255"/>
      <c r="G55" s="255"/>
      <c r="H55" s="255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4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1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2" t="s">
        <v>185</v>
      </c>
      <c r="C60" s="264" t="s">
        <v>186</v>
      </c>
      <c r="D60" s="264"/>
      <c r="E60" s="265" t="s">
        <v>187</v>
      </c>
      <c r="F60" s="266"/>
      <c r="G60" s="266"/>
      <c r="H60" s="267"/>
      <c r="I60" s="90"/>
      <c r="J60" s="218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19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58">
        <v>15</v>
      </c>
      <c r="B62" s="258">
        <v>96</v>
      </c>
      <c r="C62" s="255"/>
      <c r="D62" s="258">
        <v>0</v>
      </c>
      <c r="E62" s="255"/>
      <c r="F62" s="255"/>
      <c r="G62" s="255"/>
      <c r="H62" s="255"/>
      <c r="I62" s="53">
        <f>IFERROR(B62/A62,"")</f>
        <v>6.4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58">
        <v>20</v>
      </c>
      <c r="B63" s="258">
        <v>231</v>
      </c>
      <c r="C63" s="258">
        <v>1</v>
      </c>
      <c r="D63" s="258">
        <v>72</v>
      </c>
      <c r="E63" s="255"/>
      <c r="F63" s="255"/>
      <c r="G63" s="255">
        <v>1</v>
      </c>
      <c r="H63" s="255"/>
      <c r="I63" s="49">
        <f>IF(A63&lt;&gt;0,(B63-(B62-D62))/(A63-A62),"")</f>
        <v>27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58">
        <v>25</v>
      </c>
      <c r="B64" s="258">
        <v>325</v>
      </c>
      <c r="C64" s="258">
        <v>2</v>
      </c>
      <c r="D64" s="258">
        <v>84</v>
      </c>
      <c r="E64" s="255"/>
      <c r="F64" s="255">
        <v>1</v>
      </c>
      <c r="G64" s="255"/>
      <c r="H64" s="255"/>
      <c r="I64" s="49">
        <f>IF(A64&lt;&gt;0,(B64-(B63-D63))/(A64-A63),"")</f>
        <v>33.200000000000003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58">
        <v>30</v>
      </c>
      <c r="B65" s="258">
        <v>415</v>
      </c>
      <c r="C65" s="258">
        <v>3</v>
      </c>
      <c r="D65" s="258">
        <v>84</v>
      </c>
      <c r="E65" s="255"/>
      <c r="F65" s="255">
        <v>1</v>
      </c>
      <c r="G65" s="255"/>
      <c r="H65" s="255"/>
      <c r="I65" s="49">
        <f>IF(A65&lt;&gt;0,(B65-(B64-D64))/(A65-A64),"")</f>
        <v>34.799999999999997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58">
        <v>35</v>
      </c>
      <c r="B66" s="258">
        <v>501</v>
      </c>
      <c r="C66" s="258">
        <v>4</v>
      </c>
      <c r="D66" s="258">
        <v>84</v>
      </c>
      <c r="E66" s="255">
        <v>1</v>
      </c>
      <c r="F66" s="255"/>
      <c r="G66" s="255"/>
      <c r="H66" s="255"/>
      <c r="I66" s="49">
        <f t="shared" ref="I66:I81" si="2">IF(A66&lt;&gt;0,(B66-(B65-D65))/(A66-A65),"")</f>
        <v>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58">
        <v>40</v>
      </c>
      <c r="B67" s="258">
        <v>577</v>
      </c>
      <c r="C67" s="258">
        <v>5</v>
      </c>
      <c r="D67" s="258">
        <v>84</v>
      </c>
      <c r="E67" s="255">
        <v>1</v>
      </c>
      <c r="F67" s="255"/>
      <c r="G67" s="255"/>
      <c r="H67" s="255"/>
      <c r="I67" s="49">
        <f t="shared" si="2"/>
        <v>32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58">
        <v>45</v>
      </c>
      <c r="B68" s="258">
        <v>642</v>
      </c>
      <c r="C68" s="258">
        <v>6</v>
      </c>
      <c r="D68" s="258">
        <v>84</v>
      </c>
      <c r="E68" s="255">
        <v>1</v>
      </c>
      <c r="F68" s="255"/>
      <c r="G68" s="255"/>
      <c r="H68" s="255"/>
      <c r="I68" s="49">
        <f t="shared" si="2"/>
        <v>29.8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58">
        <v>50</v>
      </c>
      <c r="B69" s="258">
        <v>707</v>
      </c>
      <c r="C69" s="258">
        <v>7</v>
      </c>
      <c r="D69" s="258">
        <v>79</v>
      </c>
      <c r="E69" s="255">
        <v>1</v>
      </c>
      <c r="F69" s="255"/>
      <c r="G69" s="255"/>
      <c r="H69" s="255"/>
      <c r="I69" s="49">
        <f t="shared" si="2"/>
        <v>29.8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58">
        <v>55</v>
      </c>
      <c r="B70" s="258">
        <v>748</v>
      </c>
      <c r="C70" s="258">
        <v>8</v>
      </c>
      <c r="D70" s="258">
        <v>70</v>
      </c>
      <c r="E70" s="255">
        <v>1</v>
      </c>
      <c r="F70" s="255"/>
      <c r="G70" s="255"/>
      <c r="H70" s="255"/>
      <c r="I70" s="49">
        <f t="shared" si="2"/>
        <v>24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58">
        <v>60</v>
      </c>
      <c r="B71" s="258">
        <v>798</v>
      </c>
      <c r="C71" s="258">
        <v>9</v>
      </c>
      <c r="D71" s="258">
        <v>64</v>
      </c>
      <c r="E71" s="255">
        <v>1</v>
      </c>
      <c r="F71" s="255"/>
      <c r="G71" s="255"/>
      <c r="H71" s="255"/>
      <c r="I71" s="49">
        <f t="shared" si="2"/>
        <v>24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58">
        <v>65</v>
      </c>
      <c r="B72" s="258">
        <v>846</v>
      </c>
      <c r="C72" s="258">
        <v>10</v>
      </c>
      <c r="D72" s="258">
        <v>60</v>
      </c>
      <c r="E72" s="255">
        <v>1</v>
      </c>
      <c r="F72" s="255"/>
      <c r="G72" s="255"/>
      <c r="H72" s="255"/>
      <c r="I72" s="49">
        <f t="shared" si="2"/>
        <v>22.4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58">
        <v>70</v>
      </c>
      <c r="B73" s="258">
        <v>888</v>
      </c>
      <c r="C73" s="258">
        <v>11</v>
      </c>
      <c r="D73" s="258">
        <v>56</v>
      </c>
      <c r="E73" s="255">
        <v>1</v>
      </c>
      <c r="F73" s="255"/>
      <c r="G73" s="255"/>
      <c r="H73" s="255"/>
      <c r="I73" s="49">
        <f t="shared" si="2"/>
        <v>20.399999999999999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58">
        <v>75</v>
      </c>
      <c r="B74" s="258">
        <v>929</v>
      </c>
      <c r="C74" s="258">
        <v>12</v>
      </c>
      <c r="D74" s="258">
        <v>54</v>
      </c>
      <c r="E74" s="255">
        <v>1</v>
      </c>
      <c r="F74" s="255"/>
      <c r="G74" s="255"/>
      <c r="H74" s="255"/>
      <c r="I74" s="49">
        <f t="shared" si="2"/>
        <v>19.399999999999999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58">
        <v>80</v>
      </c>
      <c r="B75" s="258">
        <v>964</v>
      </c>
      <c r="C75" s="258">
        <v>13</v>
      </c>
      <c r="D75" s="258">
        <v>52</v>
      </c>
      <c r="E75" s="255">
        <v>1</v>
      </c>
      <c r="F75" s="255"/>
      <c r="G75" s="255"/>
      <c r="H75" s="255"/>
      <c r="I75" s="49">
        <f t="shared" si="2"/>
        <v>17.8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58"/>
      <c r="B76" s="258"/>
      <c r="C76" s="258"/>
      <c r="D76" s="258"/>
      <c r="E76" s="255"/>
      <c r="F76" s="255"/>
      <c r="G76" s="255"/>
      <c r="H76" s="255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8"/>
      <c r="B77" s="258"/>
      <c r="C77" s="258"/>
      <c r="D77" s="258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8"/>
      <c r="B78" s="258"/>
      <c r="C78" s="258"/>
      <c r="D78" s="258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8"/>
      <c r="B79" s="258"/>
      <c r="C79" s="258"/>
      <c r="D79" s="258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8"/>
      <c r="B80" s="258"/>
      <c r="C80" s="258"/>
      <c r="D80" s="258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8"/>
      <c r="B81" s="258"/>
      <c r="C81" s="258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Sapin de Nordmann</v>
      </c>
      <c r="D84" s="224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1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2" t="s">
        <v>185</v>
      </c>
      <c r="C86" s="264" t="s">
        <v>186</v>
      </c>
      <c r="D86" s="264"/>
      <c r="E86" s="265" t="s">
        <v>187</v>
      </c>
      <c r="F86" s="266"/>
      <c r="G86" s="266"/>
      <c r="H86" s="267"/>
      <c r="I86" s="90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58">
        <v>15</v>
      </c>
      <c r="B88" s="258">
        <v>56</v>
      </c>
      <c r="C88" s="258"/>
      <c r="D88" s="258">
        <v>0</v>
      </c>
      <c r="E88" s="255"/>
      <c r="F88" s="255"/>
      <c r="G88" s="255"/>
      <c r="H88" s="255"/>
      <c r="I88" s="53">
        <f>IFERROR(B88/A88,"")</f>
        <v>3.7333333333333334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58">
        <v>20</v>
      </c>
      <c r="B89" s="258">
        <v>185</v>
      </c>
      <c r="C89" s="258">
        <v>1</v>
      </c>
      <c r="D89" s="258">
        <v>43</v>
      </c>
      <c r="E89" s="255"/>
      <c r="F89" s="255"/>
      <c r="G89" s="255">
        <v>1</v>
      </c>
      <c r="H89" s="255"/>
      <c r="I89" s="53">
        <f t="shared" ref="I89:I107" si="3">IF(A89&lt;&gt;0,(B89-(B88-D88))/(A89-A88),"")</f>
        <v>25.8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58">
        <v>25</v>
      </c>
      <c r="B90" s="258">
        <v>294</v>
      </c>
      <c r="C90" s="258">
        <v>2</v>
      </c>
      <c r="D90" s="258">
        <v>77</v>
      </c>
      <c r="E90" s="255"/>
      <c r="F90" s="255">
        <v>1</v>
      </c>
      <c r="G90" s="255"/>
      <c r="H90" s="255"/>
      <c r="I90" s="53">
        <f t="shared" si="3"/>
        <v>30.4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58">
        <v>30</v>
      </c>
      <c r="B91" s="258">
        <v>376</v>
      </c>
      <c r="C91" s="258">
        <v>3</v>
      </c>
      <c r="D91" s="258">
        <v>77</v>
      </c>
      <c r="E91" s="255"/>
      <c r="F91" s="255">
        <v>1</v>
      </c>
      <c r="G91" s="255"/>
      <c r="H91" s="255"/>
      <c r="I91" s="53">
        <f t="shared" si="3"/>
        <v>31.8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58">
        <v>35</v>
      </c>
      <c r="B92" s="258">
        <v>453</v>
      </c>
      <c r="C92" s="258">
        <v>4</v>
      </c>
      <c r="D92" s="258">
        <v>77</v>
      </c>
      <c r="E92" s="255">
        <v>1</v>
      </c>
      <c r="F92" s="255"/>
      <c r="G92" s="255"/>
      <c r="H92" s="255"/>
      <c r="I92" s="53">
        <f t="shared" si="3"/>
        <v>30.8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58">
        <v>40</v>
      </c>
      <c r="B93" s="258">
        <v>524</v>
      </c>
      <c r="C93" s="258">
        <v>5</v>
      </c>
      <c r="D93" s="258">
        <v>77</v>
      </c>
      <c r="E93" s="255">
        <v>1</v>
      </c>
      <c r="F93" s="255"/>
      <c r="G93" s="255"/>
      <c r="H93" s="255"/>
      <c r="I93" s="53">
        <f t="shared" si="3"/>
        <v>29.6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58">
        <v>45</v>
      </c>
      <c r="B94" s="258">
        <v>588</v>
      </c>
      <c r="C94" s="258">
        <v>6</v>
      </c>
      <c r="D94" s="258">
        <v>77</v>
      </c>
      <c r="E94" s="255">
        <v>1</v>
      </c>
      <c r="F94" s="255"/>
      <c r="G94" s="255"/>
      <c r="H94" s="255"/>
      <c r="I94" s="53">
        <f t="shared" si="3"/>
        <v>28.2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58">
        <v>50</v>
      </c>
      <c r="B95" s="258">
        <v>644</v>
      </c>
      <c r="C95" s="258">
        <v>7</v>
      </c>
      <c r="D95" s="258">
        <v>77</v>
      </c>
      <c r="E95" s="255">
        <v>1</v>
      </c>
      <c r="F95" s="255"/>
      <c r="G95" s="255"/>
      <c r="H95" s="255"/>
      <c r="I95" s="53">
        <f t="shared" si="3"/>
        <v>26.6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58">
        <v>55</v>
      </c>
      <c r="B96" s="258">
        <v>694</v>
      </c>
      <c r="C96" s="258">
        <v>8</v>
      </c>
      <c r="D96" s="258">
        <v>73</v>
      </c>
      <c r="E96" s="255">
        <v>1</v>
      </c>
      <c r="F96" s="255"/>
      <c r="G96" s="255"/>
      <c r="H96" s="255"/>
      <c r="I96" s="53">
        <f t="shared" si="3"/>
        <v>25.4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58">
        <v>60</v>
      </c>
      <c r="B97" s="258">
        <v>740</v>
      </c>
      <c r="C97" s="258">
        <v>9</v>
      </c>
      <c r="D97" s="258">
        <v>66</v>
      </c>
      <c r="E97" s="255">
        <v>1</v>
      </c>
      <c r="F97" s="255"/>
      <c r="G97" s="255"/>
      <c r="H97" s="255"/>
      <c r="I97" s="53">
        <f t="shared" si="3"/>
        <v>23.8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58">
        <v>65</v>
      </c>
      <c r="B98" s="258">
        <v>786</v>
      </c>
      <c r="C98" s="258">
        <v>10</v>
      </c>
      <c r="D98" s="258">
        <v>62</v>
      </c>
      <c r="E98" s="255">
        <v>1</v>
      </c>
      <c r="F98" s="255"/>
      <c r="G98" s="255"/>
      <c r="H98" s="255"/>
      <c r="I98" s="53">
        <f t="shared" si="3"/>
        <v>22.4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58">
        <v>70</v>
      </c>
      <c r="B99" s="258">
        <v>832</v>
      </c>
      <c r="C99" s="258">
        <v>11</v>
      </c>
      <c r="D99" s="258">
        <v>60</v>
      </c>
      <c r="E99" s="255">
        <v>1</v>
      </c>
      <c r="F99" s="255"/>
      <c r="G99" s="255"/>
      <c r="H99" s="255"/>
      <c r="I99" s="53">
        <f t="shared" si="3"/>
        <v>21.6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58">
        <v>75</v>
      </c>
      <c r="B100" s="258">
        <v>874</v>
      </c>
      <c r="C100" s="258">
        <v>12</v>
      </c>
      <c r="D100" s="258">
        <v>58</v>
      </c>
      <c r="E100" s="255">
        <v>1</v>
      </c>
      <c r="F100" s="255"/>
      <c r="G100" s="255"/>
      <c r="H100" s="255"/>
      <c r="I100" s="53">
        <f t="shared" si="3"/>
        <v>20.399999999999999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58">
        <v>80</v>
      </c>
      <c r="B101" s="258">
        <v>909</v>
      </c>
      <c r="C101" s="258">
        <v>13</v>
      </c>
      <c r="D101" s="258">
        <v>57</v>
      </c>
      <c r="E101" s="255">
        <v>1</v>
      </c>
      <c r="F101" s="255"/>
      <c r="G101" s="255"/>
      <c r="H101" s="255"/>
      <c r="I101" s="53">
        <f t="shared" si="3"/>
        <v>18.600000000000001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58"/>
      <c r="B102" s="258"/>
      <c r="C102" s="258"/>
      <c r="D102" s="258"/>
      <c r="E102" s="255"/>
      <c r="F102" s="255"/>
      <c r="G102" s="255"/>
      <c r="H102" s="255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8"/>
      <c r="B103" s="258"/>
      <c r="C103" s="258"/>
      <c r="D103" s="258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8"/>
      <c r="B104" s="258"/>
      <c r="C104" s="258"/>
      <c r="D104" s="258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8"/>
      <c r="B105" s="258"/>
      <c r="C105" s="258"/>
      <c r="D105" s="258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8"/>
      <c r="B106" s="258"/>
      <c r="C106" s="258"/>
      <c r="D106" s="258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8"/>
      <c r="B107" s="258"/>
      <c r="C107" s="258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Pin maritime</v>
      </c>
      <c r="D110" s="224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1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2" t="s">
        <v>185</v>
      </c>
      <c r="C112" s="264" t="s">
        <v>186</v>
      </c>
      <c r="D112" s="264"/>
      <c r="E112" s="265" t="s">
        <v>187</v>
      </c>
      <c r="F112" s="266"/>
      <c r="G112" s="266"/>
      <c r="H112" s="267"/>
      <c r="I112" s="90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58">
        <v>11</v>
      </c>
      <c r="B114" s="258">
        <v>83</v>
      </c>
      <c r="C114" s="258"/>
      <c r="D114" s="258"/>
      <c r="E114" s="255"/>
      <c r="F114" s="255"/>
      <c r="G114" s="255"/>
      <c r="H114" s="255"/>
      <c r="I114" s="53">
        <f>IFERROR(B114/A114,"")</f>
        <v>7.5454545454545459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58">
        <v>12</v>
      </c>
      <c r="B115" s="258">
        <v>106</v>
      </c>
      <c r="C115" s="258">
        <v>1</v>
      </c>
      <c r="D115" s="258">
        <v>34</v>
      </c>
      <c r="E115" s="255">
        <v>0</v>
      </c>
      <c r="F115" s="255"/>
      <c r="G115" s="255">
        <v>1</v>
      </c>
      <c r="H115" s="255"/>
      <c r="I115" s="53">
        <f t="shared" ref="I115:I133" si="4">IF(A115&lt;&gt;0,(B115-(B114-D114))/(A115-A114),"")</f>
        <v>23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58">
        <v>13</v>
      </c>
      <c r="B116" s="258">
        <v>89</v>
      </c>
      <c r="C116" s="258"/>
      <c r="D116" s="258"/>
      <c r="E116" s="255"/>
      <c r="F116" s="255"/>
      <c r="G116" s="255"/>
      <c r="H116" s="255"/>
      <c r="I116" s="53">
        <f t="shared" si="4"/>
        <v>17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58">
        <v>14</v>
      </c>
      <c r="B117" s="258">
        <v>110</v>
      </c>
      <c r="C117" s="258"/>
      <c r="D117" s="258"/>
      <c r="E117" s="255"/>
      <c r="F117" s="255"/>
      <c r="G117" s="255"/>
      <c r="H117" s="255"/>
      <c r="I117" s="53">
        <f t="shared" si="4"/>
        <v>21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58">
        <v>15</v>
      </c>
      <c r="B118" s="258">
        <v>131</v>
      </c>
      <c r="C118" s="258"/>
      <c r="D118" s="258"/>
      <c r="E118" s="255"/>
      <c r="F118" s="255"/>
      <c r="G118" s="255"/>
      <c r="H118" s="255"/>
      <c r="I118" s="53">
        <f t="shared" si="4"/>
        <v>21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58">
        <v>16</v>
      </c>
      <c r="B119" s="258">
        <v>153</v>
      </c>
      <c r="C119" s="258"/>
      <c r="D119" s="258"/>
      <c r="E119" s="255"/>
      <c r="F119" s="255"/>
      <c r="G119" s="255"/>
      <c r="H119" s="255"/>
      <c r="I119" s="53">
        <f t="shared" si="4"/>
        <v>22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58">
        <v>17</v>
      </c>
      <c r="B120" s="258">
        <v>176</v>
      </c>
      <c r="C120" s="258">
        <v>2</v>
      </c>
      <c r="D120" s="258">
        <v>43</v>
      </c>
      <c r="E120" s="255">
        <v>0.25</v>
      </c>
      <c r="F120" s="255"/>
      <c r="G120" s="255">
        <v>0.75</v>
      </c>
      <c r="H120" s="255"/>
      <c r="I120" s="53">
        <f t="shared" si="4"/>
        <v>23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58">
        <v>18</v>
      </c>
      <c r="B121" s="258">
        <v>151</v>
      </c>
      <c r="C121" s="258"/>
      <c r="D121" s="258"/>
      <c r="E121" s="255"/>
      <c r="F121" s="255"/>
      <c r="G121" s="255"/>
      <c r="H121" s="255"/>
      <c r="I121" s="53">
        <f t="shared" si="4"/>
        <v>18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58">
        <v>19</v>
      </c>
      <c r="B122" s="258">
        <v>171</v>
      </c>
      <c r="C122" s="258"/>
      <c r="D122" s="258"/>
      <c r="E122" s="255"/>
      <c r="F122" s="255"/>
      <c r="G122" s="255"/>
      <c r="H122" s="255"/>
      <c r="I122" s="53">
        <f t="shared" si="4"/>
        <v>20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58">
        <v>20</v>
      </c>
      <c r="B123" s="258">
        <v>192</v>
      </c>
      <c r="C123" s="258"/>
      <c r="D123" s="258"/>
      <c r="E123" s="255"/>
      <c r="F123" s="255"/>
      <c r="G123" s="255"/>
      <c r="H123" s="255"/>
      <c r="I123" s="53">
        <f t="shared" si="4"/>
        <v>21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58">
        <v>21</v>
      </c>
      <c r="B124" s="258">
        <v>212</v>
      </c>
      <c r="C124" s="258"/>
      <c r="D124" s="258"/>
      <c r="E124" s="255"/>
      <c r="F124" s="255"/>
      <c r="G124" s="255"/>
      <c r="H124" s="255"/>
      <c r="I124" s="53">
        <f t="shared" si="4"/>
        <v>20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58">
        <v>22</v>
      </c>
      <c r="B125" s="258">
        <v>232</v>
      </c>
      <c r="C125" s="258">
        <v>3</v>
      </c>
      <c r="D125" s="258">
        <v>56</v>
      </c>
      <c r="E125" s="255">
        <v>0.6</v>
      </c>
      <c r="F125" s="255"/>
      <c r="G125" s="255">
        <v>0.4</v>
      </c>
      <c r="H125" s="255"/>
      <c r="I125" s="53">
        <f t="shared" si="4"/>
        <v>20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58">
        <v>23</v>
      </c>
      <c r="B126" s="258">
        <v>192</v>
      </c>
      <c r="C126" s="258"/>
      <c r="D126" s="258"/>
      <c r="E126" s="255"/>
      <c r="F126" s="255"/>
      <c r="G126" s="255"/>
      <c r="H126" s="255"/>
      <c r="I126" s="53">
        <f t="shared" si="4"/>
        <v>16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58">
        <v>24</v>
      </c>
      <c r="B127" s="258">
        <v>209</v>
      </c>
      <c r="C127" s="258"/>
      <c r="D127" s="258"/>
      <c r="E127" s="255"/>
      <c r="F127" s="255"/>
      <c r="G127" s="255"/>
      <c r="H127" s="255"/>
      <c r="I127" s="53">
        <f t="shared" si="4"/>
        <v>17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58">
        <v>25</v>
      </c>
      <c r="B128" s="258">
        <v>226</v>
      </c>
      <c r="C128" s="258"/>
      <c r="D128" s="258"/>
      <c r="E128" s="255"/>
      <c r="F128" s="255"/>
      <c r="G128" s="255"/>
      <c r="H128" s="255"/>
      <c r="I128" s="53">
        <f t="shared" si="4"/>
        <v>17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58">
        <v>26</v>
      </c>
      <c r="B129" s="258">
        <v>244</v>
      </c>
      <c r="C129" s="258"/>
      <c r="D129" s="258"/>
      <c r="E129" s="255"/>
      <c r="F129" s="255"/>
      <c r="G129" s="255"/>
      <c r="H129" s="255"/>
      <c r="I129" s="53">
        <f t="shared" si="4"/>
        <v>18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58">
        <v>27</v>
      </c>
      <c r="B130" s="258">
        <v>261</v>
      </c>
      <c r="C130" s="258"/>
      <c r="D130" s="258"/>
      <c r="E130" s="255"/>
      <c r="F130" s="255"/>
      <c r="G130" s="255"/>
      <c r="H130" s="255"/>
      <c r="I130" s="53">
        <f t="shared" si="4"/>
        <v>17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58">
        <v>28</v>
      </c>
      <c r="B131" s="258">
        <v>277</v>
      </c>
      <c r="C131" s="258"/>
      <c r="D131" s="258"/>
      <c r="E131" s="255"/>
      <c r="F131" s="255"/>
      <c r="G131" s="255"/>
      <c r="H131" s="255"/>
      <c r="I131" s="53">
        <f t="shared" si="4"/>
        <v>16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58">
        <v>29</v>
      </c>
      <c r="B132" s="258">
        <v>293</v>
      </c>
      <c r="C132" s="258"/>
      <c r="D132" s="258"/>
      <c r="E132" s="255"/>
      <c r="F132" s="255"/>
      <c r="G132" s="255"/>
      <c r="H132" s="255"/>
      <c r="I132" s="53">
        <f t="shared" si="4"/>
        <v>16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58">
        <v>30</v>
      </c>
      <c r="B133" s="258">
        <v>309</v>
      </c>
      <c r="C133" s="258">
        <v>4</v>
      </c>
      <c r="D133" s="258">
        <v>309</v>
      </c>
      <c r="E133" s="255">
        <v>1</v>
      </c>
      <c r="F133" s="255"/>
      <c r="G133" s="255"/>
      <c r="H133" s="255"/>
      <c r="I133" s="53">
        <f t="shared" si="4"/>
        <v>16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sessile</v>
      </c>
      <c r="D136" s="224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1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2" t="s">
        <v>185</v>
      </c>
      <c r="C138" s="264" t="s">
        <v>186</v>
      </c>
      <c r="D138" s="264"/>
      <c r="E138" s="265" t="s">
        <v>187</v>
      </c>
      <c r="F138" s="266"/>
      <c r="G138" s="266"/>
      <c r="H138" s="267"/>
      <c r="I138" s="90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258">
        <v>20</v>
      </c>
      <c r="B140" s="258">
        <v>42</v>
      </c>
      <c r="C140" s="258"/>
      <c r="D140" s="258">
        <v>0</v>
      </c>
      <c r="E140" s="255"/>
      <c r="F140" s="255"/>
      <c r="G140" s="255"/>
      <c r="H140" s="255"/>
      <c r="I140" s="56">
        <f>IFERROR(B140/A140,"")</f>
        <v>2.1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258">
        <v>25</v>
      </c>
      <c r="B141" s="258">
        <v>70</v>
      </c>
      <c r="C141" s="258">
        <v>1</v>
      </c>
      <c r="D141" s="258">
        <v>8</v>
      </c>
      <c r="E141" s="255"/>
      <c r="F141" s="255"/>
      <c r="G141" s="255"/>
      <c r="H141" s="255">
        <v>1</v>
      </c>
      <c r="I141" s="56">
        <f t="shared" ref="I141:I159" si="5">IF(A141&lt;&gt;0,(B141-(B140-D140))/(A141-A140),"")</f>
        <v>5.6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258">
        <v>30</v>
      </c>
      <c r="B142" s="258">
        <v>97</v>
      </c>
      <c r="C142" s="258">
        <v>2</v>
      </c>
      <c r="D142" s="258">
        <v>21</v>
      </c>
      <c r="E142" s="255"/>
      <c r="F142" s="255"/>
      <c r="G142" s="255"/>
      <c r="H142" s="255">
        <v>1</v>
      </c>
      <c r="I142" s="56">
        <f t="shared" si="5"/>
        <v>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258">
        <v>35</v>
      </c>
      <c r="B143" s="258">
        <v>116</v>
      </c>
      <c r="C143" s="258">
        <v>3</v>
      </c>
      <c r="D143" s="258">
        <v>21</v>
      </c>
      <c r="E143" s="255">
        <v>1</v>
      </c>
      <c r="F143" s="255"/>
      <c r="G143" s="255"/>
      <c r="H143" s="255"/>
      <c r="I143" s="56">
        <f t="shared" si="5"/>
        <v>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258">
        <v>40</v>
      </c>
      <c r="B144" s="258">
        <v>137</v>
      </c>
      <c r="C144" s="258">
        <v>4</v>
      </c>
      <c r="D144" s="258">
        <v>21</v>
      </c>
      <c r="E144" s="255">
        <v>1</v>
      </c>
      <c r="F144" s="255"/>
      <c r="G144" s="255"/>
      <c r="H144" s="255"/>
      <c r="I144" s="56">
        <f t="shared" si="5"/>
        <v>8.4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258">
        <v>45</v>
      </c>
      <c r="B145" s="258">
        <v>158</v>
      </c>
      <c r="C145" s="258">
        <v>5</v>
      </c>
      <c r="D145" s="258">
        <v>21</v>
      </c>
      <c r="E145" s="255">
        <v>1</v>
      </c>
      <c r="F145" s="255"/>
      <c r="G145" s="255"/>
      <c r="H145" s="255"/>
      <c r="I145" s="56">
        <f t="shared" si="5"/>
        <v>8.4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258">
        <v>50</v>
      </c>
      <c r="B146" s="258">
        <v>178</v>
      </c>
      <c r="C146" s="258">
        <v>6</v>
      </c>
      <c r="D146" s="258">
        <v>21</v>
      </c>
      <c r="E146" s="255">
        <v>1</v>
      </c>
      <c r="F146" s="255"/>
      <c r="G146" s="255"/>
      <c r="H146" s="255"/>
      <c r="I146" s="56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258">
        <v>55</v>
      </c>
      <c r="B147" s="258">
        <v>197</v>
      </c>
      <c r="C147" s="258">
        <v>7</v>
      </c>
      <c r="D147" s="258">
        <v>21</v>
      </c>
      <c r="E147" s="255">
        <v>1</v>
      </c>
      <c r="F147" s="255"/>
      <c r="G147" s="255"/>
      <c r="H147" s="255"/>
      <c r="I147" s="56">
        <f>IF(A147&lt;&gt;0,(B147-(B146-D146))/(A147-A146),"")</f>
        <v>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258">
        <v>60</v>
      </c>
      <c r="B148" s="258">
        <v>214</v>
      </c>
      <c r="C148" s="258">
        <v>8</v>
      </c>
      <c r="D148" s="258">
        <v>21</v>
      </c>
      <c r="E148" s="255">
        <v>1</v>
      </c>
      <c r="F148" s="255"/>
      <c r="G148" s="255"/>
      <c r="H148" s="255"/>
      <c r="I148" s="56">
        <f t="shared" si="5"/>
        <v>7.6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258">
        <v>65</v>
      </c>
      <c r="B149" s="258">
        <v>229</v>
      </c>
      <c r="C149" s="258">
        <v>9</v>
      </c>
      <c r="D149" s="258">
        <v>21</v>
      </c>
      <c r="E149" s="255">
        <v>1</v>
      </c>
      <c r="F149" s="255"/>
      <c r="G149" s="255"/>
      <c r="H149" s="255"/>
      <c r="I149" s="56">
        <f t="shared" si="5"/>
        <v>7.2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258">
        <v>70</v>
      </c>
      <c r="B150" s="258">
        <v>242</v>
      </c>
      <c r="C150" s="258">
        <v>10</v>
      </c>
      <c r="D150" s="258">
        <v>21</v>
      </c>
      <c r="E150" s="255">
        <v>1</v>
      </c>
      <c r="F150" s="255"/>
      <c r="G150" s="255"/>
      <c r="H150" s="255"/>
      <c r="I150" s="56">
        <f t="shared" si="5"/>
        <v>6.8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258">
        <v>75</v>
      </c>
      <c r="B151" s="258">
        <v>252</v>
      </c>
      <c r="C151" s="258">
        <v>11</v>
      </c>
      <c r="D151" s="258">
        <v>21</v>
      </c>
      <c r="E151" s="255">
        <v>1</v>
      </c>
      <c r="F151" s="255"/>
      <c r="G151" s="255"/>
      <c r="H151" s="255"/>
      <c r="I151" s="56">
        <f t="shared" si="5"/>
        <v>6.2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258">
        <v>80</v>
      </c>
      <c r="B152" s="258">
        <v>261</v>
      </c>
      <c r="C152" s="258">
        <v>12</v>
      </c>
      <c r="D152" s="258">
        <v>21</v>
      </c>
      <c r="E152" s="255">
        <v>1</v>
      </c>
      <c r="F152" s="255"/>
      <c r="G152" s="255"/>
      <c r="H152" s="255"/>
      <c r="I152" s="56">
        <f t="shared" si="5"/>
        <v>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258">
        <v>85</v>
      </c>
      <c r="B153" s="258">
        <v>269</v>
      </c>
      <c r="C153" s="258">
        <v>13</v>
      </c>
      <c r="D153" s="258">
        <v>21</v>
      </c>
      <c r="E153" s="255">
        <v>1</v>
      </c>
      <c r="F153" s="255"/>
      <c r="G153" s="255"/>
      <c r="H153" s="255"/>
      <c r="I153" s="56">
        <f t="shared" si="5"/>
        <v>5.8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258">
        <v>90</v>
      </c>
      <c r="B154" s="259">
        <v>275</v>
      </c>
      <c r="C154" s="258">
        <v>14</v>
      </c>
      <c r="D154" s="258">
        <v>21</v>
      </c>
      <c r="E154" s="255">
        <v>1</v>
      </c>
      <c r="F154" s="255"/>
      <c r="G154" s="255"/>
      <c r="H154" s="255"/>
      <c r="I154" s="56">
        <f t="shared" si="5"/>
        <v>5.4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258">
        <v>95</v>
      </c>
      <c r="B155" s="259">
        <v>279</v>
      </c>
      <c r="C155" s="258">
        <v>15</v>
      </c>
      <c r="D155" s="258">
        <v>21</v>
      </c>
      <c r="E155" s="255">
        <v>1</v>
      </c>
      <c r="F155" s="255"/>
      <c r="G155" s="255"/>
      <c r="H155" s="255"/>
      <c r="I155" s="56">
        <f t="shared" si="5"/>
        <v>5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258">
        <v>100</v>
      </c>
      <c r="B156" s="259">
        <v>282</v>
      </c>
      <c r="C156" s="258">
        <v>16</v>
      </c>
      <c r="D156" s="258">
        <v>21</v>
      </c>
      <c r="E156" s="255">
        <v>1</v>
      </c>
      <c r="F156" s="255"/>
      <c r="G156" s="255"/>
      <c r="H156" s="255"/>
      <c r="I156" s="56">
        <f t="shared" si="5"/>
        <v>4.8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258">
        <v>105</v>
      </c>
      <c r="B157" s="259">
        <v>284</v>
      </c>
      <c r="C157" s="258">
        <v>17</v>
      </c>
      <c r="D157" s="258">
        <v>20</v>
      </c>
      <c r="E157" s="255">
        <v>1</v>
      </c>
      <c r="F157" s="255"/>
      <c r="G157" s="255"/>
      <c r="H157" s="255"/>
      <c r="I157" s="56">
        <f t="shared" si="5"/>
        <v>4.5999999999999996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258">
        <v>110</v>
      </c>
      <c r="B158" s="259">
        <v>285</v>
      </c>
      <c r="C158" s="258">
        <v>18</v>
      </c>
      <c r="D158" s="258">
        <v>19</v>
      </c>
      <c r="E158" s="255">
        <v>1</v>
      </c>
      <c r="F158" s="255"/>
      <c r="G158" s="255"/>
      <c r="H158" s="255"/>
      <c r="I158" s="56">
        <f t="shared" si="5"/>
        <v>4.2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258">
        <v>115</v>
      </c>
      <c r="B159" s="259">
        <v>285</v>
      </c>
      <c r="C159" s="258">
        <v>19</v>
      </c>
      <c r="D159" s="260">
        <v>18</v>
      </c>
      <c r="E159" s="255">
        <v>1</v>
      </c>
      <c r="F159" s="255"/>
      <c r="G159" s="255"/>
      <c r="H159" s="255"/>
      <c r="I159" s="56">
        <f t="shared" si="5"/>
        <v>3.8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Châtaignier</v>
      </c>
      <c r="D162" s="224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1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2" t="s">
        <v>185</v>
      </c>
      <c r="C164" s="264" t="s">
        <v>186</v>
      </c>
      <c r="D164" s="264"/>
      <c r="E164" s="265" t="s">
        <v>187</v>
      </c>
      <c r="F164" s="266"/>
      <c r="G164" s="266"/>
      <c r="H164" s="267"/>
      <c r="I164" s="90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258">
        <v>10</v>
      </c>
      <c r="B166" s="258">
        <v>115</v>
      </c>
      <c r="C166" s="258"/>
      <c r="D166" s="258"/>
      <c r="E166" s="255"/>
      <c r="F166" s="255"/>
      <c r="G166" s="255"/>
      <c r="H166" s="255"/>
      <c r="I166" s="49">
        <f>IFERROR(B166/A166,"")</f>
        <v>11.5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258">
        <v>15</v>
      </c>
      <c r="B167" s="258">
        <v>184</v>
      </c>
      <c r="C167" s="258"/>
      <c r="D167" s="258"/>
      <c r="E167" s="255"/>
      <c r="F167" s="255"/>
      <c r="G167" s="255"/>
      <c r="H167" s="255"/>
      <c r="I167" s="49">
        <f t="shared" ref="I167:I185" si="6">IF(A167&lt;&gt;0,(B167-(B166-D166))/(A167-A166),"")</f>
        <v>13.8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258">
        <v>18</v>
      </c>
      <c r="B168" s="258">
        <v>225</v>
      </c>
      <c r="C168" s="258">
        <v>1</v>
      </c>
      <c r="D168" s="258">
        <v>94</v>
      </c>
      <c r="E168" s="255"/>
      <c r="F168" s="255"/>
      <c r="G168" s="255"/>
      <c r="H168" s="255">
        <v>1</v>
      </c>
      <c r="I168" s="49">
        <f t="shared" si="6"/>
        <v>13.666666666666666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258">
        <v>22</v>
      </c>
      <c r="B169" s="258">
        <v>151</v>
      </c>
      <c r="C169" s="258">
        <v>2</v>
      </c>
      <c r="D169" s="258">
        <v>54</v>
      </c>
      <c r="E169" s="255"/>
      <c r="F169" s="255"/>
      <c r="G169" s="255"/>
      <c r="H169" s="255">
        <v>1</v>
      </c>
      <c r="I169" s="49">
        <f t="shared" si="6"/>
        <v>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258">
        <v>27</v>
      </c>
      <c r="B170" s="258">
        <v>130</v>
      </c>
      <c r="C170" s="258">
        <v>3</v>
      </c>
      <c r="D170" s="258">
        <v>38</v>
      </c>
      <c r="E170" s="255"/>
      <c r="F170" s="255"/>
      <c r="G170" s="255"/>
      <c r="H170" s="255">
        <v>1</v>
      </c>
      <c r="I170" s="49">
        <f t="shared" si="6"/>
        <v>6.6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258">
        <v>35</v>
      </c>
      <c r="B171" s="258">
        <v>136</v>
      </c>
      <c r="C171" s="258"/>
      <c r="D171" s="258"/>
      <c r="E171" s="255"/>
      <c r="F171" s="255"/>
      <c r="G171" s="255"/>
      <c r="H171" s="255"/>
      <c r="I171" s="49">
        <f t="shared" si="6"/>
        <v>5.5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258">
        <v>40</v>
      </c>
      <c r="B172" s="258">
        <v>170</v>
      </c>
      <c r="C172" s="258"/>
      <c r="D172" s="258"/>
      <c r="E172" s="255"/>
      <c r="F172" s="255"/>
      <c r="G172" s="255"/>
      <c r="H172" s="255"/>
      <c r="I172" s="49">
        <f t="shared" si="6"/>
        <v>6.8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258">
        <v>45</v>
      </c>
      <c r="B173" s="258">
        <v>210</v>
      </c>
      <c r="C173" s="258"/>
      <c r="D173" s="258"/>
      <c r="E173" s="255"/>
      <c r="F173" s="255"/>
      <c r="G173" s="255"/>
      <c r="H173" s="255"/>
      <c r="I173" s="49">
        <f t="shared" si="6"/>
        <v>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258">
        <v>50</v>
      </c>
      <c r="B174" s="258">
        <v>255</v>
      </c>
      <c r="C174" s="258"/>
      <c r="D174" s="258"/>
      <c r="E174" s="255"/>
      <c r="F174" s="255"/>
      <c r="G174" s="255"/>
      <c r="H174" s="255"/>
      <c r="I174" s="49">
        <f t="shared" si="6"/>
        <v>9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258"/>
      <c r="B175" s="258"/>
      <c r="C175" s="258"/>
      <c r="D175" s="258"/>
      <c r="E175" s="255"/>
      <c r="F175" s="255"/>
      <c r="G175" s="255"/>
      <c r="H175" s="255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258"/>
      <c r="B176" s="258"/>
      <c r="C176" s="258"/>
      <c r="D176" s="258"/>
      <c r="E176" s="255"/>
      <c r="F176" s="255"/>
      <c r="G176" s="255"/>
      <c r="H176" s="255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258"/>
      <c r="B177" s="258"/>
      <c r="C177" s="258"/>
      <c r="D177" s="258"/>
      <c r="E177" s="255"/>
      <c r="F177" s="255"/>
      <c r="G177" s="255"/>
      <c r="H177" s="255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258"/>
      <c r="B178" s="258"/>
      <c r="C178" s="258"/>
      <c r="D178" s="258"/>
      <c r="E178" s="255"/>
      <c r="F178" s="255"/>
      <c r="G178" s="255"/>
      <c r="H178" s="255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258"/>
      <c r="B179" s="258"/>
      <c r="C179" s="258"/>
      <c r="D179" s="258"/>
      <c r="E179" s="255"/>
      <c r="F179" s="255"/>
      <c r="G179" s="255"/>
      <c r="H179" s="255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258"/>
      <c r="B180" s="258"/>
      <c r="C180" s="258"/>
      <c r="D180" s="258"/>
      <c r="E180" s="255"/>
      <c r="F180" s="255"/>
      <c r="G180" s="255"/>
      <c r="H180" s="255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258"/>
      <c r="B181" s="258"/>
      <c r="C181" s="258"/>
      <c r="D181" s="258"/>
      <c r="E181" s="255"/>
      <c r="F181" s="255"/>
      <c r="G181" s="255"/>
      <c r="H181" s="255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258"/>
      <c r="B182" s="258"/>
      <c r="C182" s="258"/>
      <c r="D182" s="258"/>
      <c r="E182" s="255"/>
      <c r="F182" s="255"/>
      <c r="G182" s="255"/>
      <c r="H182" s="255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258"/>
      <c r="B183" s="258"/>
      <c r="C183" s="258"/>
      <c r="D183" s="258"/>
      <c r="E183" s="255"/>
      <c r="F183" s="255"/>
      <c r="G183" s="255"/>
      <c r="H183" s="255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258"/>
      <c r="B184" s="258"/>
      <c r="C184" s="258"/>
      <c r="D184" s="258"/>
      <c r="E184" s="255"/>
      <c r="F184" s="255"/>
      <c r="G184" s="255"/>
      <c r="H184" s="255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258"/>
      <c r="B185" s="258"/>
      <c r="C185" s="258"/>
      <c r="D185" s="258"/>
      <c r="E185" s="255"/>
      <c r="F185" s="255"/>
      <c r="G185" s="255"/>
      <c r="H185" s="255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Hêtre</v>
      </c>
      <c r="D188" s="224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1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2" t="s">
        <v>185</v>
      </c>
      <c r="C190" s="264" t="s">
        <v>186</v>
      </c>
      <c r="D190" s="264"/>
      <c r="E190" s="265" t="s">
        <v>187</v>
      </c>
      <c r="F190" s="266"/>
      <c r="G190" s="266"/>
      <c r="H190" s="267"/>
      <c r="I190" s="90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258">
        <v>20</v>
      </c>
      <c r="B192" s="258">
        <v>32</v>
      </c>
      <c r="C192" s="258"/>
      <c r="D192" s="258">
        <v>0</v>
      </c>
      <c r="E192" s="255"/>
      <c r="F192" s="255"/>
      <c r="G192" s="255"/>
      <c r="H192" s="255"/>
      <c r="I192" s="49">
        <f>IFERROR(B192/A192,"")</f>
        <v>1.6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258">
        <v>25</v>
      </c>
      <c r="B193" s="258">
        <v>76</v>
      </c>
      <c r="C193" s="258">
        <v>1</v>
      </c>
      <c r="D193" s="258">
        <v>7</v>
      </c>
      <c r="E193" s="255"/>
      <c r="F193" s="255"/>
      <c r="G193" s="255"/>
      <c r="H193" s="255">
        <v>1</v>
      </c>
      <c r="I193" s="49">
        <f t="shared" ref="I193:I211" si="7">IF(A193&lt;&gt;0,(B193-(B192-D192))/(A193-A192),"")</f>
        <v>8.8000000000000007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258">
        <v>30</v>
      </c>
      <c r="B194" s="258">
        <v>116</v>
      </c>
      <c r="C194" s="258">
        <v>2</v>
      </c>
      <c r="D194" s="258">
        <v>28</v>
      </c>
      <c r="E194" s="255"/>
      <c r="F194" s="255"/>
      <c r="G194" s="255"/>
      <c r="H194" s="255">
        <v>1</v>
      </c>
      <c r="I194" s="49">
        <f t="shared" si="7"/>
        <v>9.4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258">
        <v>35</v>
      </c>
      <c r="B195" s="258">
        <v>139</v>
      </c>
      <c r="C195" s="258">
        <v>3</v>
      </c>
      <c r="D195" s="258">
        <v>28</v>
      </c>
      <c r="E195" s="255">
        <v>1</v>
      </c>
      <c r="F195" s="255"/>
      <c r="G195" s="255"/>
      <c r="H195" s="255"/>
      <c r="I195" s="49">
        <f t="shared" si="7"/>
        <v>10.199999999999999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258">
        <v>40</v>
      </c>
      <c r="B196" s="258">
        <v>161</v>
      </c>
      <c r="C196" s="258">
        <v>4</v>
      </c>
      <c r="D196" s="258">
        <v>28</v>
      </c>
      <c r="E196" s="255">
        <v>1</v>
      </c>
      <c r="F196" s="255"/>
      <c r="G196" s="255"/>
      <c r="H196" s="255"/>
      <c r="I196" s="49">
        <f t="shared" si="7"/>
        <v>10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258">
        <v>45</v>
      </c>
      <c r="B197" s="258">
        <v>190</v>
      </c>
      <c r="C197" s="258">
        <v>5</v>
      </c>
      <c r="D197" s="258">
        <v>28</v>
      </c>
      <c r="E197" s="255">
        <v>1</v>
      </c>
      <c r="F197" s="255"/>
      <c r="G197" s="255"/>
      <c r="H197" s="255"/>
      <c r="I197" s="49">
        <f t="shared" si="7"/>
        <v>11.4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258">
        <v>50</v>
      </c>
      <c r="B198" s="258">
        <v>217</v>
      </c>
      <c r="C198" s="258">
        <v>6</v>
      </c>
      <c r="D198" s="258">
        <v>28</v>
      </c>
      <c r="E198" s="255">
        <v>1</v>
      </c>
      <c r="F198" s="255"/>
      <c r="G198" s="255"/>
      <c r="H198" s="255"/>
      <c r="I198" s="49">
        <f t="shared" si="7"/>
        <v>11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258">
        <v>55</v>
      </c>
      <c r="B199" s="258">
        <v>244</v>
      </c>
      <c r="C199" s="258">
        <v>7</v>
      </c>
      <c r="D199" s="258">
        <v>28</v>
      </c>
      <c r="E199" s="255">
        <v>1</v>
      </c>
      <c r="F199" s="255"/>
      <c r="G199" s="255"/>
      <c r="H199" s="255"/>
      <c r="I199" s="49">
        <f t="shared" si="7"/>
        <v>11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258">
        <v>60</v>
      </c>
      <c r="B200" s="258">
        <v>270</v>
      </c>
      <c r="C200" s="258">
        <v>8</v>
      </c>
      <c r="D200" s="258">
        <v>28</v>
      </c>
      <c r="E200" s="255">
        <v>1</v>
      </c>
      <c r="F200" s="255"/>
      <c r="G200" s="255"/>
      <c r="H200" s="255"/>
      <c r="I200" s="49">
        <f t="shared" si="7"/>
        <v>10.8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258">
        <v>65</v>
      </c>
      <c r="B201" s="258">
        <v>294</v>
      </c>
      <c r="C201" s="258">
        <v>9</v>
      </c>
      <c r="D201" s="258">
        <v>28</v>
      </c>
      <c r="E201" s="255">
        <v>1</v>
      </c>
      <c r="F201" s="255"/>
      <c r="G201" s="255"/>
      <c r="H201" s="255"/>
      <c r="I201" s="49">
        <f t="shared" si="7"/>
        <v>10.4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258">
        <v>70</v>
      </c>
      <c r="B202" s="258">
        <v>316</v>
      </c>
      <c r="C202" s="258">
        <v>10</v>
      </c>
      <c r="D202" s="258">
        <v>28</v>
      </c>
      <c r="E202" s="255">
        <v>1</v>
      </c>
      <c r="F202" s="255"/>
      <c r="G202" s="255"/>
      <c r="H202" s="255"/>
      <c r="I202" s="49">
        <f t="shared" si="7"/>
        <v>10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258">
        <v>75</v>
      </c>
      <c r="B203" s="258">
        <v>335</v>
      </c>
      <c r="C203" s="258">
        <v>11</v>
      </c>
      <c r="D203" s="258">
        <v>28</v>
      </c>
      <c r="E203" s="255">
        <v>1</v>
      </c>
      <c r="F203" s="255"/>
      <c r="G203" s="255"/>
      <c r="H203" s="255"/>
      <c r="I203" s="49">
        <f t="shared" si="7"/>
        <v>9.4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258">
        <v>80</v>
      </c>
      <c r="B204" s="258">
        <v>351</v>
      </c>
      <c r="C204" s="258">
        <v>12</v>
      </c>
      <c r="D204" s="258">
        <v>28</v>
      </c>
      <c r="E204" s="255">
        <v>1</v>
      </c>
      <c r="F204" s="255"/>
      <c r="G204" s="255"/>
      <c r="H204" s="255"/>
      <c r="I204" s="49">
        <f t="shared" si="7"/>
        <v>8.8000000000000007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258">
        <v>85</v>
      </c>
      <c r="B205" s="258">
        <v>365</v>
      </c>
      <c r="C205" s="258">
        <v>13</v>
      </c>
      <c r="D205" s="258">
        <v>27</v>
      </c>
      <c r="E205" s="255">
        <v>1</v>
      </c>
      <c r="F205" s="255"/>
      <c r="G205" s="255"/>
      <c r="H205" s="255"/>
      <c r="I205" s="49">
        <f t="shared" si="7"/>
        <v>8.4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258">
        <v>90</v>
      </c>
      <c r="B206" s="258">
        <v>377</v>
      </c>
      <c r="C206" s="258">
        <v>14</v>
      </c>
      <c r="D206" s="258">
        <v>26</v>
      </c>
      <c r="E206" s="255">
        <v>1</v>
      </c>
      <c r="F206" s="255"/>
      <c r="G206" s="255"/>
      <c r="H206" s="255"/>
      <c r="I206" s="49">
        <f t="shared" si="7"/>
        <v>7.8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258">
        <v>95</v>
      </c>
      <c r="B207" s="258">
        <v>389</v>
      </c>
      <c r="C207" s="258">
        <v>15</v>
      </c>
      <c r="D207" s="258">
        <v>25</v>
      </c>
      <c r="E207" s="255">
        <v>1</v>
      </c>
      <c r="F207" s="255"/>
      <c r="G207" s="255"/>
      <c r="H207" s="255"/>
      <c r="I207" s="49">
        <f t="shared" si="7"/>
        <v>7.6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258">
        <v>100</v>
      </c>
      <c r="B208" s="258">
        <v>400</v>
      </c>
      <c r="C208" s="258">
        <v>16</v>
      </c>
      <c r="D208" s="258">
        <v>24</v>
      </c>
      <c r="E208" s="255">
        <v>1</v>
      </c>
      <c r="F208" s="255"/>
      <c r="G208" s="255"/>
      <c r="H208" s="255"/>
      <c r="I208" s="49">
        <f t="shared" si="7"/>
        <v>7.2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258">
        <v>105</v>
      </c>
      <c r="B209" s="258">
        <v>409</v>
      </c>
      <c r="C209" s="258">
        <v>17</v>
      </c>
      <c r="D209" s="258">
        <v>23</v>
      </c>
      <c r="E209" s="255">
        <v>1</v>
      </c>
      <c r="F209" s="255"/>
      <c r="G209" s="255"/>
      <c r="H209" s="255"/>
      <c r="I209" s="49">
        <f t="shared" si="7"/>
        <v>6.6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258">
        <v>110</v>
      </c>
      <c r="B210" s="258">
        <v>418</v>
      </c>
      <c r="C210" s="258">
        <v>18</v>
      </c>
      <c r="D210" s="258">
        <v>22</v>
      </c>
      <c r="E210" s="255">
        <v>1</v>
      </c>
      <c r="F210" s="255"/>
      <c r="G210" s="255"/>
      <c r="H210" s="255"/>
      <c r="I210" s="49">
        <f t="shared" si="7"/>
        <v>6.4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258">
        <v>115</v>
      </c>
      <c r="B211" s="258">
        <v>425</v>
      </c>
      <c r="C211" s="258">
        <v>19</v>
      </c>
      <c r="D211" s="258">
        <v>21</v>
      </c>
      <c r="E211" s="255">
        <v>1</v>
      </c>
      <c r="F211" s="255"/>
      <c r="G211" s="255"/>
      <c r="H211" s="255"/>
      <c r="I211" s="49">
        <f t="shared" si="7"/>
        <v>5.8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4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1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2" t="s">
        <v>185</v>
      </c>
      <c r="C216" s="264" t="s">
        <v>186</v>
      </c>
      <c r="D216" s="264"/>
      <c r="E216" s="265" t="s">
        <v>187</v>
      </c>
      <c r="F216" s="266"/>
      <c r="G216" s="266"/>
      <c r="H216" s="267"/>
      <c r="I216" s="90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58"/>
      <c r="C218" s="50"/>
      <c r="D218" s="58"/>
      <c r="E218" s="51"/>
      <c r="F218" s="51"/>
      <c r="G218" s="51"/>
      <c r="H218" s="51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58"/>
      <c r="C219" s="50"/>
      <c r="D219" s="58"/>
      <c r="E219" s="51"/>
      <c r="F219" s="51"/>
      <c r="G219" s="51"/>
      <c r="H219" s="51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58"/>
      <c r="C220" s="50"/>
      <c r="D220" s="58"/>
      <c r="E220" s="51"/>
      <c r="F220" s="51"/>
      <c r="G220" s="51"/>
      <c r="H220" s="51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0"/>
      <c r="B221" s="58"/>
      <c r="C221" s="50"/>
      <c r="D221" s="58"/>
      <c r="E221" s="51"/>
      <c r="F221" s="51"/>
      <c r="G221" s="51"/>
      <c r="H221" s="51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0"/>
      <c r="B222" s="58"/>
      <c r="C222" s="50"/>
      <c r="D222" s="58"/>
      <c r="E222" s="51"/>
      <c r="F222" s="51"/>
      <c r="G222" s="51"/>
      <c r="H222" s="51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0"/>
      <c r="B223" s="58"/>
      <c r="C223" s="50"/>
      <c r="D223" s="50"/>
      <c r="E223" s="51"/>
      <c r="F223" s="51"/>
      <c r="G223" s="51"/>
      <c r="H223" s="51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0"/>
      <c r="B224" s="58"/>
      <c r="C224" s="50"/>
      <c r="D224" s="58"/>
      <c r="E224" s="51"/>
      <c r="F224" s="51"/>
      <c r="G224" s="51"/>
      <c r="H224" s="51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0"/>
      <c r="B225" s="50"/>
      <c r="C225" s="50"/>
      <c r="D225" s="58"/>
      <c r="E225" s="51"/>
      <c r="F225" s="51"/>
      <c r="G225" s="51"/>
      <c r="H225" s="51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0"/>
      <c r="B226" s="50"/>
      <c r="C226" s="50"/>
      <c r="D226" s="50"/>
      <c r="E226" s="51"/>
      <c r="F226" s="51"/>
      <c r="G226" s="51"/>
      <c r="H226" s="51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0"/>
      <c r="B227" s="50"/>
      <c r="C227" s="50"/>
      <c r="D227" s="50"/>
      <c r="E227" s="51"/>
      <c r="F227" s="51"/>
      <c r="G227" s="51"/>
      <c r="H227" s="51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0"/>
      <c r="B228" s="50"/>
      <c r="C228" s="50"/>
      <c r="D228" s="50"/>
      <c r="E228" s="51"/>
      <c r="F228" s="51"/>
      <c r="G228" s="51"/>
      <c r="H228" s="51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0"/>
      <c r="B229" s="50"/>
      <c r="C229" s="50"/>
      <c r="D229" s="50"/>
      <c r="E229" s="51"/>
      <c r="F229" s="51"/>
      <c r="G229" s="51"/>
      <c r="H229" s="51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0"/>
      <c r="B230" s="50"/>
      <c r="C230" s="50"/>
      <c r="D230" s="50"/>
      <c r="E230" s="51"/>
      <c r="F230" s="51"/>
      <c r="G230" s="51"/>
      <c r="H230" s="51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50"/>
      <c r="B231" s="50"/>
      <c r="C231" s="50"/>
      <c r="D231" s="50"/>
      <c r="E231" s="51"/>
      <c r="F231" s="51"/>
      <c r="G231" s="51"/>
      <c r="H231" s="51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1"/>
      <c r="F232" s="51"/>
      <c r="G232" s="51"/>
      <c r="H232" s="51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1"/>
      <c r="F233" s="51"/>
      <c r="G233" s="51"/>
      <c r="H233" s="51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1"/>
      <c r="F234" s="51"/>
      <c r="G234" s="51"/>
      <c r="H234" s="51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1"/>
      <c r="F235" s="51"/>
      <c r="G235" s="51"/>
      <c r="H235" s="51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1"/>
      <c r="F236" s="51"/>
      <c r="G236" s="51"/>
      <c r="H236" s="51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1"/>
      <c r="F237" s="51"/>
      <c r="G237" s="51"/>
      <c r="H237" s="51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4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1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2" t="s">
        <v>185</v>
      </c>
      <c r="C242" s="264" t="s">
        <v>186</v>
      </c>
      <c r="D242" s="264"/>
      <c r="E242" s="265" t="s">
        <v>187</v>
      </c>
      <c r="F242" s="266"/>
      <c r="G242" s="266"/>
      <c r="H242" s="267"/>
      <c r="I242" s="90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58"/>
      <c r="C244" s="58"/>
      <c r="D244" s="58"/>
      <c r="E244" s="51"/>
      <c r="F244" s="51"/>
      <c r="G244" s="51"/>
      <c r="H244" s="61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58"/>
      <c r="C245" s="58"/>
      <c r="D245" s="58"/>
      <c r="E245" s="51"/>
      <c r="F245" s="61"/>
      <c r="G245" s="61"/>
      <c r="H245" s="61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58"/>
      <c r="C246" s="58"/>
      <c r="D246" s="58"/>
      <c r="E246" s="51"/>
      <c r="F246" s="61"/>
      <c r="G246" s="61"/>
      <c r="H246" s="61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58"/>
      <c r="C247" s="58"/>
      <c r="D247" s="58"/>
      <c r="E247" s="51"/>
      <c r="F247" s="61"/>
      <c r="G247" s="61"/>
      <c r="H247" s="61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58"/>
      <c r="C248" s="58"/>
      <c r="D248" s="58"/>
      <c r="E248" s="51"/>
      <c r="F248" s="61"/>
      <c r="G248" s="61"/>
      <c r="H248" s="61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58"/>
      <c r="C249" s="58"/>
      <c r="D249" s="58"/>
      <c r="E249" s="51"/>
      <c r="F249" s="61"/>
      <c r="G249" s="61"/>
      <c r="H249" s="61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58"/>
      <c r="C250" s="58"/>
      <c r="D250" s="58"/>
      <c r="E250" s="51"/>
      <c r="F250" s="61"/>
      <c r="G250" s="61"/>
      <c r="H250" s="61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0"/>
      <c r="B251" s="55"/>
      <c r="C251" s="58"/>
      <c r="D251" s="55"/>
      <c r="E251" s="51"/>
      <c r="F251" s="61"/>
      <c r="G251" s="61"/>
      <c r="H251" s="61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0"/>
      <c r="B252" s="55"/>
      <c r="C252" s="58"/>
      <c r="D252" s="55"/>
      <c r="E252" s="51"/>
      <c r="F252" s="61"/>
      <c r="G252" s="61"/>
      <c r="H252" s="61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0"/>
      <c r="B253" s="55"/>
      <c r="C253" s="58"/>
      <c r="D253" s="55"/>
      <c r="E253" s="51"/>
      <c r="F253" s="61"/>
      <c r="G253" s="61"/>
      <c r="H253" s="61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0"/>
      <c r="B254" s="55"/>
      <c r="C254" s="58"/>
      <c r="D254" s="55"/>
      <c r="E254" s="51"/>
      <c r="F254" s="61"/>
      <c r="G254" s="61"/>
      <c r="H254" s="61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0"/>
      <c r="B255" s="55"/>
      <c r="C255" s="58"/>
      <c r="D255" s="55"/>
      <c r="E255" s="51"/>
      <c r="F255" s="61"/>
      <c r="G255" s="61"/>
      <c r="H255" s="61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0"/>
      <c r="B256" s="55"/>
      <c r="C256" s="58"/>
      <c r="D256" s="55"/>
      <c r="E256" s="51"/>
      <c r="F256" s="62"/>
      <c r="G256" s="62"/>
      <c r="H256" s="62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50"/>
      <c r="B257" s="58"/>
      <c r="C257" s="58"/>
      <c r="D257" s="58"/>
      <c r="E257" s="51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8"/>
      <c r="D258" s="50"/>
      <c r="E258" s="51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8"/>
      <c r="D259" s="50"/>
      <c r="E259" s="51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8"/>
      <c r="D260" s="50"/>
      <c r="E260" s="51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8"/>
      <c r="D261" s="50"/>
      <c r="E261" s="51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8"/>
      <c r="D262" s="50"/>
      <c r="E262" s="51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8"/>
      <c r="D263" s="50"/>
      <c r="E263" s="51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4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1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2" t="s">
        <v>185</v>
      </c>
      <c r="C268" s="264" t="s">
        <v>186</v>
      </c>
      <c r="D268" s="264"/>
      <c r="E268" s="265" t="s">
        <v>187</v>
      </c>
      <c r="F268" s="266"/>
      <c r="G268" s="266"/>
      <c r="H268" s="267"/>
      <c r="I268" s="90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58"/>
      <c r="C270" s="50"/>
      <c r="D270" s="58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58"/>
      <c r="C271" s="50"/>
      <c r="D271" s="58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58"/>
      <c r="C272" s="50"/>
      <c r="D272" s="58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58"/>
      <c r="C273" s="50"/>
      <c r="D273" s="58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58"/>
      <c r="C274" s="50"/>
      <c r="D274" s="58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58"/>
      <c r="C275" s="50"/>
      <c r="D275" s="50"/>
      <c r="E275" s="51"/>
      <c r="F275" s="51"/>
      <c r="G275" s="51"/>
      <c r="H275" s="51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58"/>
      <c r="C276" s="50"/>
      <c r="D276" s="58"/>
      <c r="E276" s="51"/>
      <c r="F276" s="51"/>
      <c r="G276" s="51"/>
      <c r="H276" s="51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0"/>
      <c r="B277" s="50"/>
      <c r="C277" s="50"/>
      <c r="D277" s="58"/>
      <c r="E277" s="51"/>
      <c r="F277" s="51"/>
      <c r="G277" s="51"/>
      <c r="H277" s="51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0"/>
      <c r="B278" s="50"/>
      <c r="C278" s="50"/>
      <c r="D278" s="50"/>
      <c r="E278" s="51"/>
      <c r="F278" s="51"/>
      <c r="G278" s="51"/>
      <c r="H278" s="51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0"/>
      <c r="B279" s="50"/>
      <c r="C279" s="50"/>
      <c r="D279" s="50"/>
      <c r="E279" s="51"/>
      <c r="F279" s="51"/>
      <c r="G279" s="51"/>
      <c r="H279" s="51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0"/>
      <c r="B280" s="50"/>
      <c r="C280" s="50"/>
      <c r="D280" s="50"/>
      <c r="E280" s="51"/>
      <c r="F280" s="51"/>
      <c r="G280" s="51"/>
      <c r="H280" s="51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0"/>
      <c r="B281" s="50"/>
      <c r="C281" s="50"/>
      <c r="D281" s="50"/>
      <c r="E281" s="51"/>
      <c r="F281" s="51"/>
      <c r="G281" s="51"/>
      <c r="H281" s="51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0"/>
      <c r="B282" s="50"/>
      <c r="C282" s="50"/>
      <c r="D282" s="50"/>
      <c r="E282" s="51"/>
      <c r="F282" s="51"/>
      <c r="G282" s="51"/>
      <c r="H282" s="51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50"/>
      <c r="B283" s="50"/>
      <c r="C283" s="50"/>
      <c r="D283" s="50"/>
      <c r="E283" s="51"/>
      <c r="F283" s="51"/>
      <c r="G283" s="51"/>
      <c r="H283" s="51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2"/>
      <c r="K1" s="9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7" t="s">
        <v>191</v>
      </c>
      <c r="C2" s="278"/>
      <c r="D2" s="278"/>
      <c r="E2" s="278"/>
      <c r="F2" s="278"/>
      <c r="G2" s="279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6"/>
      <c r="C4" s="276"/>
      <c r="D4" s="276"/>
      <c r="E4" s="276"/>
      <c r="F4" s="276"/>
      <c r="G4" s="276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3" t="s">
        <v>296</v>
      </c>
      <c r="C5" s="93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2"/>
      <c r="C6" s="212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4"/>
      <c r="B7" s="26" t="s">
        <v>295</v>
      </c>
      <c r="C7" s="95" t="s">
        <v>214</v>
      </c>
      <c r="D7" s="210"/>
      <c r="E7" s="96"/>
      <c r="F7" s="26" t="s">
        <v>295</v>
      </c>
      <c r="G7" s="95" t="s">
        <v>215</v>
      </c>
      <c r="H7" s="211"/>
      <c r="I7" s="211"/>
      <c r="J7" s="211"/>
      <c r="K7" s="211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</row>
    <row r="8" spans="1:38" ht="17.25" customHeight="1" x14ac:dyDescent="0.3">
      <c r="A8" s="100">
        <v>1</v>
      </c>
      <c r="B8" s="59">
        <v>1</v>
      </c>
      <c r="C8" s="49" t="s">
        <v>177</v>
      </c>
      <c r="D8" s="23"/>
      <c r="E8" s="100">
        <v>4</v>
      </c>
      <c r="F8" s="59">
        <v>0</v>
      </c>
      <c r="G8" s="97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0">
        <v>2</v>
      </c>
      <c r="B9" s="59">
        <v>0</v>
      </c>
      <c r="C9" s="103" t="s">
        <v>216</v>
      </c>
      <c r="D9" s="23"/>
      <c r="E9" s="100">
        <v>5</v>
      </c>
      <c r="F9" s="59">
        <v>0</v>
      </c>
      <c r="G9" s="98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0">
        <v>3</v>
      </c>
      <c r="B10" s="59">
        <v>0</v>
      </c>
      <c r="C10" s="104" t="s">
        <v>217</v>
      </c>
      <c r="D10" s="23"/>
      <c r="E10" s="4"/>
      <c r="F10" s="101">
        <f>SUM(F7:F9)</f>
        <v>0</v>
      </c>
      <c r="G10" s="99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1">
        <v>0</v>
      </c>
      <c r="C11" s="99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1"/>
      <c r="B13" s="102"/>
      <c r="C13" s="93" t="s">
        <v>273</v>
      </c>
      <c r="D13" s="211"/>
      <c r="E13" s="94"/>
      <c r="F13" s="102"/>
      <c r="G13" s="93" t="s">
        <v>301</v>
      </c>
      <c r="H13" s="211"/>
      <c r="I13" s="211"/>
      <c r="J13" s="211"/>
      <c r="K13" s="211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</row>
    <row r="14" spans="1:38" s="3" customFormat="1" ht="21" customHeight="1" x14ac:dyDescent="0.3">
      <c r="A14" s="211"/>
      <c r="B14" s="102"/>
      <c r="C14" s="93" t="s">
        <v>309</v>
      </c>
      <c r="D14" s="211"/>
      <c r="E14" s="94"/>
      <c r="F14" s="102"/>
      <c r="G14" s="93" t="s">
        <v>294</v>
      </c>
      <c r="H14" s="211"/>
      <c r="I14" s="211"/>
      <c r="J14" s="211"/>
      <c r="K14" s="211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59">
        <v>0</v>
      </c>
      <c r="C16" s="105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59">
        <v>1</v>
      </c>
      <c r="C17" s="105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59">
        <v>0</v>
      </c>
      <c r="C18" s="105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1">
        <f>SUM(B16:B18)</f>
        <v>1</v>
      </c>
      <c r="C19" s="99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3" t="s">
        <v>176</v>
      </c>
      <c r="C1" s="284"/>
      <c r="D1" s="284"/>
      <c r="E1" s="284"/>
      <c r="F1" s="284"/>
      <c r="G1" s="284"/>
      <c r="H1" s="285"/>
      <c r="I1" s="280" t="str">
        <f>IF('Données projet'!$B$9="","",'Données projet'!$B$9)</f>
        <v>Douglas</v>
      </c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2"/>
      <c r="AD1" s="281" t="str">
        <f>IF('Données projet'!$B$10="","",'Données projet'!$B$10)</f>
        <v>Cèdre de l'Atlas</v>
      </c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2"/>
      <c r="AY1" s="280" t="str">
        <f>IF('Données projet'!$B$11="","",'Données projet'!$B$11)</f>
        <v>Sapin de Nordmann</v>
      </c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2"/>
      <c r="BT1" s="280" t="str">
        <f>IF('Données projet'!$B$12="","",'Données projet'!$B$12)</f>
        <v>Pin maritime</v>
      </c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2"/>
      <c r="CO1" s="280" t="str">
        <f>IF('Données projet'!$B$13="","",'Données projet'!$B$13)</f>
        <v>Chêne sessile</v>
      </c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2"/>
      <c r="DJ1" s="280" t="str">
        <f>IF('Données projet'!$B$14="","",'Données projet'!$B$14)</f>
        <v>Châtaignier</v>
      </c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2"/>
      <c r="EE1" s="280" t="str">
        <f>IF('Données projet'!$B$15="","",'Données projet'!$B$15)</f>
        <v>Hêtre</v>
      </c>
      <c r="EF1" s="281"/>
      <c r="EG1" s="281"/>
      <c r="EH1" s="281"/>
      <c r="EI1" s="281"/>
      <c r="EJ1" s="281"/>
      <c r="EK1" s="281"/>
      <c r="EL1" s="281"/>
      <c r="EM1" s="281"/>
      <c r="EN1" s="281"/>
      <c r="EO1" s="281"/>
      <c r="EP1" s="281"/>
      <c r="EQ1" s="281"/>
      <c r="ER1" s="281"/>
      <c r="ES1" s="281"/>
      <c r="ET1" s="281"/>
      <c r="EU1" s="281"/>
      <c r="EV1" s="281"/>
      <c r="EW1" s="281"/>
      <c r="EX1" s="281"/>
      <c r="EY1" s="282"/>
      <c r="EZ1" s="280" t="str">
        <f>IF('Données projet'!$B$16="","",'Données projet'!$B$16)</f>
        <v/>
      </c>
      <c r="FA1" s="281"/>
      <c r="FB1" s="281"/>
      <c r="FC1" s="281"/>
      <c r="FD1" s="281"/>
      <c r="FE1" s="281"/>
      <c r="FF1" s="281"/>
      <c r="FG1" s="281"/>
      <c r="FH1" s="281"/>
      <c r="FI1" s="281"/>
      <c r="FJ1" s="281"/>
      <c r="FK1" s="281"/>
      <c r="FL1" s="281"/>
      <c r="FM1" s="281"/>
      <c r="FN1" s="281"/>
      <c r="FO1" s="281"/>
      <c r="FP1" s="281"/>
      <c r="FQ1" s="281"/>
      <c r="FR1" s="281"/>
      <c r="FS1" s="281"/>
      <c r="FT1" s="282"/>
      <c r="FU1" s="280" t="str">
        <f>IF('Données projet'!$B$17="","",'Données projet'!$B$17)</f>
        <v/>
      </c>
      <c r="FV1" s="281"/>
      <c r="FW1" s="281"/>
      <c r="FX1" s="281"/>
      <c r="FY1" s="281"/>
      <c r="FZ1" s="281"/>
      <c r="GA1" s="281"/>
      <c r="GB1" s="281"/>
      <c r="GC1" s="281"/>
      <c r="GD1" s="281"/>
      <c r="GE1" s="281"/>
      <c r="GF1" s="281"/>
      <c r="GG1" s="281"/>
      <c r="GH1" s="281"/>
      <c r="GI1" s="281"/>
      <c r="GJ1" s="281"/>
      <c r="GK1" s="281"/>
      <c r="GL1" s="281"/>
      <c r="GM1" s="281"/>
      <c r="GN1" s="281"/>
      <c r="GO1" s="282"/>
      <c r="GP1" s="280" t="str">
        <f>IF('Données projet'!$B$18="","",'Données projet'!$B$18)</f>
        <v/>
      </c>
      <c r="GQ1" s="281"/>
      <c r="GR1" s="281"/>
      <c r="GS1" s="281"/>
      <c r="GT1" s="281"/>
      <c r="GU1" s="281"/>
      <c r="GV1" s="281"/>
      <c r="GW1" s="281"/>
      <c r="GX1" s="281"/>
      <c r="GY1" s="281"/>
      <c r="GZ1" s="281"/>
      <c r="HA1" s="281"/>
      <c r="HB1" s="281"/>
      <c r="HC1" s="281"/>
      <c r="HD1" s="281"/>
      <c r="HE1" s="281"/>
      <c r="HF1" s="281"/>
      <c r="HG1" s="281"/>
      <c r="HH1" s="281"/>
      <c r="HI1" s="281"/>
      <c r="HJ1" s="282"/>
    </row>
    <row r="2" spans="1:218" ht="58.2" thickBot="1" x14ac:dyDescent="0.35">
      <c r="A2" s="68" t="s">
        <v>178</v>
      </c>
      <c r="B2" s="69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3" t="s">
        <v>299</v>
      </c>
      <c r="I2" s="65" t="s">
        <v>298</v>
      </c>
      <c r="J2" s="66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6" t="s">
        <v>298</v>
      </c>
      <c r="AE2" s="66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5" t="s">
        <v>298</v>
      </c>
      <c r="AZ2" s="66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5" t="s">
        <v>298</v>
      </c>
      <c r="BU2" s="66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5" t="s">
        <v>298</v>
      </c>
      <c r="CP2" s="66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5" t="s">
        <v>298</v>
      </c>
      <c r="DK2" s="66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5" t="s">
        <v>298</v>
      </c>
      <c r="EF2" s="66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5" t="s">
        <v>298</v>
      </c>
      <c r="FA2" s="66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5" t="s">
        <v>298</v>
      </c>
      <c r="FV2" s="66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5" t="s">
        <v>298</v>
      </c>
      <c r="GQ2" s="66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0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4">
        <f>(B3+E3+F3)*44/12+(C3+D3)*0.475*44/12</f>
        <v>256.66666666666669</v>
      </c>
      <c r="I3" s="6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7">
        <f t="shared" ref="R3:R66" si="0">Q3+(I3+J3)*44/12</f>
        <v>256.66666666666669</v>
      </c>
      <c r="S3" s="57">
        <f ca="1">AVERAGE(OFFSET($R$3,0,0,'Données projet'!$E$9+1,1))-AVERAGE(OFFSET($H$3,0,0,'Données projet'!$E$9+1,1))</f>
        <v>443.34220761968419</v>
      </c>
      <c r="T3" s="57">
        <f>IF('Données projet'!E9&gt;30,$R$33-$H$33,LOOKUP('Données projet'!$E$9,$A$3:$A$203,R3:R203)-LOOKUP('Données projet'!$E$9,$A$3:$A$203,$H$3:$H$203))</f>
        <v>546.58234447298014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7">
        <f>AL3+(AD3+AE3)*44/12</f>
        <v>256.66666666666669</v>
      </c>
      <c r="AN3" s="57">
        <f ca="1">AVERAGE(OFFSET($AM$3,0,0,'Données projet'!$E$10+1,1))-AVERAGE(OFFSET($H$3,0,0,'Données projet'!$E$10+1,1))</f>
        <v>524.3999528951972</v>
      </c>
      <c r="AO3" s="57">
        <f>IF('Données projet'!E10&gt;30,$AM$33-$H$33,LOOKUP('Données projet'!$E$10,$A$3:$A$203,AM3:AM203)-LOOKUP('Données projet'!$E$10,$A$3:$A$203,$H$3:$H$203))</f>
        <v>459.3547783500515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7">
        <f>BG3+(AY3+AZ3)*44/12</f>
        <v>256.66666666666669</v>
      </c>
      <c r="BI3" s="57">
        <f ca="1">AVERAGE(OFFSET($BH$3,0,0,'Données projet'!$E$11+1,1))-AVERAGE(OFFSET($H$3,0,0,'Données projet'!$E$11+1,1))</f>
        <v>495.6473104257044</v>
      </c>
      <c r="BJ3" s="57">
        <f>IF('Données projet'!E11&gt;30,$BH$33-$H$33,LOOKUP('Données projet'!$E$11,$A$3:$A$203,BH3:BH203)-LOOKUP('Données projet'!$E$11,$A$3:$A$203,$H$3:$H$203))</f>
        <v>430.92527296485201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7">
        <f>CB3+(BT3+BU3)*44/12</f>
        <v>256.66666666666669</v>
      </c>
      <c r="CD3" s="57">
        <f ca="1">AVERAGE(OFFSET($CC$3,0,0,'Données projet'!$E$12+1,1))-AVERAGE(OFFSET($H$3,0,0,'Données projet'!$E$12+1,1))</f>
        <v>187.80389738728508</v>
      </c>
      <c r="CE3" s="57">
        <f>IF('Données projet'!E12&gt;30,$CC$33-$H$33,LOOKUP('Données projet'!$E$12,$A$3:$A$203,CC3:CC203)-LOOKUP('Données projet'!$E$12,$A$3:$A$203,$H$3:$H$203))</f>
        <v>439.28159165815265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7">
        <f>CW3+(CO3+CP3)*44/12</f>
        <v>256.66666666666669</v>
      </c>
      <c r="CY3" s="57">
        <f ca="1">AVERAGE(OFFSET($CX$3,0,0,'Données projet'!$E$13+1,1))-AVERAGE(OFFSET($H$3,0,0,'Données projet'!$E$13+1,1))</f>
        <v>364.3481978218424</v>
      </c>
      <c r="CZ3" s="57">
        <f>IF('Données projet'!E13&gt;30,$CX$33-$H$33,LOOKUP('Données projet'!$E$13,$A$3:$A$203,CX3:CX203)-LOOKUP('Données projet'!$E$13,$A$3:$A$203,$H$3:$H$203))</f>
        <v>231.36959598460686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7">
        <f>DR3+(DJ3+DK3)*44/12</f>
        <v>256.66666666666669</v>
      </c>
      <c r="DT3" s="57">
        <f ca="1">AVERAGE(OFFSET($DS$3,0,0,'Données projet'!$E$14+1,1))-AVERAGE(OFFSET($H$3,0,0,'Données projet'!$E$14+1,1))</f>
        <v>239.25212250019609</v>
      </c>
      <c r="DU3" s="57">
        <f>IF('Données projet'!E14&gt;30,$DS$33-$H$33,LOOKUP('Données projet'!$E$14,$A$3:$A$203,DS3:DS203)-LOOKUP('Données projet'!$E$14,$A$3:$A$203,$H$3:$H$203))</f>
        <v>213.58492101729695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7">
        <f>EM3+(EE3+EF3)*44/12</f>
        <v>256.66666666666669</v>
      </c>
      <c r="EO3" s="57">
        <f ca="1">AVERAGE(OFFSET($EN$3,0,0,'Données projet'!$E$15+1,1))-AVERAGE(OFFSET($H$3,0,0,'Données projet'!$E$15+1,1))</f>
        <v>447.10969593632467</v>
      </c>
      <c r="EP3" s="57">
        <f>IF('Données projet'!E15&gt;30,$EN$33-$H$33,LOOKUP('Données projet'!$E$15,$A$3:$A$203,EN3:EN203)-LOOKUP('Données projet'!$E$15,$A$3:$A$203,$H$3:$H$203))</f>
        <v>256.77417912163997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7" t="e">
        <f>FH3+(EZ3+FA3)*44/12</f>
        <v>#N/A</v>
      </c>
      <c r="FJ3" s="57" t="e">
        <f ca="1">AVERAGE(OFFSET($FI$3,0,0,'Données projet'!$E$16+1,1))-AVERAGE(OFFSET($H$3,0,0,'Données projet'!$E$16+1,1))</f>
        <v>#N/A</v>
      </c>
      <c r="FK3" s="57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7" t="e">
        <f>GC3+(FU3+FV3)*44/12</f>
        <v>#N/A</v>
      </c>
      <c r="GE3" s="57" t="e">
        <f ca="1">AVERAGE(OFFSET($GD$3,0,0,'Données projet'!$E$17+1,1))-AVERAGE(OFFSET($H$3,0,0,'Données projet'!$E$17+1,1))</f>
        <v>#N/A</v>
      </c>
      <c r="GF3" s="57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7" t="e">
        <f>GX3+(GP3+GQ3)*44/12</f>
        <v>#N/A</v>
      </c>
      <c r="GZ3" s="57" t="e">
        <f ca="1">AVERAGE(OFFSET($GY$3,0,0,'Données projet'!$E$18+1,1))-AVERAGE(OFFSET($H$3,0,0,'Données projet'!$E$18+1,1))</f>
        <v>#N/A</v>
      </c>
      <c r="HA3" s="57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0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4">
        <f t="shared" ref="H4:H67" si="1">(B4+E4+F4)*44/12+(C4+D4)*0.475*44/12</f>
        <v>256.66666666666669</v>
      </c>
      <c r="I4" s="6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7">
        <f t="shared" si="0"/>
        <v>259.76966919403429</v>
      </c>
      <c r="S4" s="57">
        <f ca="1">AVERAGE(OFFSET($R$3,0,0,'Données projet'!$E$9+1,1))-AVERAGE(OFFSET($H$3,0,0,'Données projet'!$E$9+1,1))</f>
        <v>443.34220761968419</v>
      </c>
      <c r="T4" s="57">
        <f>$T$3</f>
        <v>546.58234447298014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6.4</v>
      </c>
      <c r="AI4" s="13">
        <f>IF('Données projet'!$A$62&gt;35,AI3+AH4-AQ3,IF(A4&lt;'Données projet'!$A$62,$AF$205^A4,IF(A4='Données projet'!$A$62,'Données projet'!$B$62,AI3+AH4-AQ3)))</f>
        <v>1.3556619776599483</v>
      </c>
      <c r="AJ4" s="13">
        <f>AI4*VLOOKUP('Données projet'!$B$10,Paramètres!$A$1:$I$89,3,0)*VLOOKUP('Données projet'!$B$10,Paramètres!$A$1:$I$89,5,0)</f>
        <v>0.63444980554485586</v>
      </c>
      <c r="AK4" s="13">
        <f>EXP(-1.0587+0.8836*LN(AJ4)+0.284)</f>
        <v>0.30828350741460053</v>
      </c>
      <c r="AL4" s="20">
        <f t="shared" ref="AL4:AL67" si="4">(AJ4+AK4)*0.475*44/12</f>
        <v>1.6419271867377201</v>
      </c>
      <c r="AM4" s="57">
        <f t="shared" ref="AM4:AM67" si="5">AL4+(AD4+AE4)*44/12</f>
        <v>259.5308160756266</v>
      </c>
      <c r="AN4" s="57">
        <f ca="1">AVERAGE(OFFSET($AM$3,0,0,'Données projet'!$E$10+1,1))-AVERAGE(OFFSET($H$3,0,0,'Données projet'!$E$10+1,1))</f>
        <v>524.3999528951972</v>
      </c>
      <c r="AO4" s="57">
        <f>$AO$3</f>
        <v>459.3547783500515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3.7333333333333334</v>
      </c>
      <c r="BD4" s="12">
        <f>IF('Données projet'!$A$88&gt;35,BD3+BC4-BL3,IF(A4&lt;'Données projet'!$A$88,$BA$205^A4,IF(A4='Données projet'!$A$88,'Données projet'!$B$88,BD3+BC4-BL3)))</f>
        <v>1.3078136577370625</v>
      </c>
      <c r="BE4" s="13">
        <f>BD4*VLOOKUP('Données projet'!$B$11,Paramètres!$A$1:$I$89,3,0)*VLOOKUP('Données projet'!$B$11,Paramètres!$A$1:$I$89,5,0)</f>
        <v>0.62905836937152704</v>
      </c>
      <c r="BF4" s="13">
        <f>EXP(-1.0587+0.8836*LN(BE4)+0.284)</f>
        <v>0.30596756041015177</v>
      </c>
      <c r="BG4" s="20">
        <f t="shared" ref="BG4:BG67" si="7">(BE4+BF4)*0.475*44/12</f>
        <v>1.6285034943697572</v>
      </c>
      <c r="BH4" s="57">
        <f t="shared" ref="BH4:BH67" si="8">BG4+(AY4+AZ4)*44/12</f>
        <v>259.5173923832586</v>
      </c>
      <c r="BI4" s="57">
        <f ca="1">AVERAGE(OFFSET($BH$3,0,0,'Données projet'!$E$11+1,1))-AVERAGE(OFFSET($H$3,0,0,'Données projet'!$E$11+1,1))</f>
        <v>495.6473104257044</v>
      </c>
      <c r="BJ4" s="57">
        <f>$BJ$3</f>
        <v>430.92527296485201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7.5454545454545459</v>
      </c>
      <c r="BY4" s="12">
        <f>IF('Données projet'!$A$114&gt;35,BY3+BX4-CG3,IF(A4&lt;'Données projet'!$A$114,$BV$205^A4,IF(A4='Données projet'!$A$114,'Données projet'!$B$114,BY3+BX4-CG3)))</f>
        <v>1.4943820583928935</v>
      </c>
      <c r="BZ4" s="13">
        <f>BY4*VLOOKUP('Données projet'!$B$12,Paramètres!$A$1:$I$89,3,0)*VLOOKUP('Données projet'!$B$12,Paramètres!$A$1:$I$89,5,0)</f>
        <v>0.89364047091895038</v>
      </c>
      <c r="CA4" s="13">
        <f>EXP(-1.0587+0.8836*LN(BZ4)+0.284)</f>
        <v>0.41725306962072783</v>
      </c>
      <c r="CB4" s="20">
        <f t="shared" ref="CB4:CB67" si="10">(BZ4+CA4)*0.475*44/12</f>
        <v>2.2831395831066059</v>
      </c>
      <c r="CC4" s="57">
        <f t="shared" ref="CC4:CC67" si="11">CB4+(BT4+BU4)*44/12</f>
        <v>260.17202847199547</v>
      </c>
      <c r="CD4" s="57">
        <f ca="1">AVERAGE(OFFSET($CC$3,0,0,'Données projet'!$E$12+1,1))-AVERAGE(OFFSET($H$3,0,0,'Données projet'!$E$12+1,1))</f>
        <v>187.80389738728508</v>
      </c>
      <c r="CE4" s="57">
        <f>$CE$3</f>
        <v>439.28159165815265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2.1</v>
      </c>
      <c r="CT4" s="12">
        <f>IF('Données projet'!$A$140&gt;35,CT3+CS4-DB3,IF(A4&lt;'Données projet'!$A$140,$CQ$205^A4,IF(A4='Données projet'!$A$140,'Données projet'!$B$140,CT3+CS4-DB3)))</f>
        <v>1.2054868146447177</v>
      </c>
      <c r="CU4" s="17">
        <f>CT4*VLOOKUP('Données projet'!$B$13,Paramètres!$A$1:$I$89,3,0)*VLOOKUP('Données projet'!$B$13,Paramètres!$A$1:$I$89,5,0)</f>
        <v>1.0907244698905405</v>
      </c>
      <c r="CV4" s="13">
        <f>EXP(-1.0587+0.8836*LN(CU4)+0.284)</f>
        <v>0.49759623852608204</v>
      </c>
      <c r="CW4" s="20">
        <f t="shared" ref="CW4:CW67" si="13">(CU4+CV4)*0.475*44/12</f>
        <v>2.7663252338256172</v>
      </c>
      <c r="CX4" s="57">
        <f t="shared" ref="CX4:CX67" si="14">CW4+(CO4+CP4)*44/12</f>
        <v>260.65521412271448</v>
      </c>
      <c r="CY4" s="57">
        <f ca="1">AVERAGE(OFFSET($CX$3,0,0,'Données projet'!$E$13+1,1))-AVERAGE(OFFSET($H$3,0,0,'Données projet'!$E$13+1,1))</f>
        <v>364.3481978218424</v>
      </c>
      <c r="CZ4" s="57">
        <f>$CZ$3</f>
        <v>231.36959598460686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11.5</v>
      </c>
      <c r="DO4" s="12">
        <f>IF('Données projet'!$A$166&gt;35,DO3+DN4-DW3,IF(A4&lt;'Données projet'!$A$166,$DL$205^A4,IF(A4='Données projet'!$A$166,'Données projet'!$B$166,DO3+DN4-DW3)))</f>
        <v>1.6071994829923506</v>
      </c>
      <c r="DP4" s="17">
        <f>DO4*VLOOKUP('Données projet'!$B$14,Paramètres!$A$1:$I$89,3,0)*VLOOKUP('Données projet'!$B$14,Paramètres!$A$1:$I$89,5,0)</f>
        <v>1.1783986609299915</v>
      </c>
      <c r="DQ4" s="13">
        <f>EXP(-1.0587+0.8836*LN(DP4)+0.284)</f>
        <v>0.53277751568396181</v>
      </c>
      <c r="DR4" s="20">
        <f t="shared" ref="DR4:DR67" si="16">(DP4+DQ4)*0.475*44/12</f>
        <v>2.9802985076026349</v>
      </c>
      <c r="DS4" s="57">
        <f t="shared" ref="DS4:DS67" si="17">DR4+(DJ4+DK4)*44/12</f>
        <v>260.8691873964915</v>
      </c>
      <c r="DT4" s="57">
        <f ca="1">AVERAGE(OFFSET($DS$3,0,0,'Données projet'!$E$14+1,1))-AVERAGE(OFFSET($H$3,0,0,'Données projet'!$E$14+1,1))</f>
        <v>239.25212250019609</v>
      </c>
      <c r="DU4" s="57">
        <f>$DU$3</f>
        <v>213.58492101729695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1.6</v>
      </c>
      <c r="EJ4" s="12">
        <f>IF('Données projet'!$A$192&gt;35,EJ3+EI4-ER3,IF(A4&lt;'Données projet'!$A$192,$EG$205^A4,IF(A4='Données projet'!$A$192,'Données projet'!$B$192,EJ3+EI4-ER3)))</f>
        <v>1.189207115002721</v>
      </c>
      <c r="EK4" s="17">
        <f>EJ4*VLOOKUP('Données projet'!$B$15,Paramètres!$A$1:$I$89,3,0)*VLOOKUP('Données projet'!$B$15,Paramètres!$A$1:$I$89,5,0)</f>
        <v>1.0203397046723348</v>
      </c>
      <c r="EL4" s="13">
        <f>EXP(-1.0587+0.8836*LN(EK4)+0.284)</f>
        <v>0.46911460970544039</v>
      </c>
      <c r="EM4" s="20">
        <f t="shared" ref="EM4:EM67" si="19">(EK4+EL4)*0.475*44/12</f>
        <v>2.594132930874625</v>
      </c>
      <c r="EN4" s="57">
        <f t="shared" ref="EN4:EN67" si="20">EM4+(EE4+EF4)*44/12</f>
        <v>260.48302181976351</v>
      </c>
      <c r="EO4" s="57">
        <f ca="1">AVERAGE(OFFSET($EN$3,0,0,'Données projet'!$E$15+1,1))-AVERAGE(OFFSET($H$3,0,0,'Données projet'!$E$15+1,1))</f>
        <v>447.10969593632467</v>
      </c>
      <c r="EP4" s="57">
        <f>$EP$3</f>
        <v>256.77417912163997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7" t="e">
        <f t="shared" ref="FI4:FI67" si="23">FH4+(EZ4+FA4)*44/12</f>
        <v>#N/A</v>
      </c>
      <c r="FJ4" s="57" t="e">
        <f ca="1">AVERAGE(OFFSET($FI$3,0,0,'Données projet'!$E$16+1,1))-AVERAGE(OFFSET($H$3,0,0,'Données projet'!$E$16+1,1))</f>
        <v>#N/A</v>
      </c>
      <c r="FK4" s="57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7" t="e">
        <f t="shared" ref="GD4:GD67" si="26">GC4+(FU4+FV4)*44/12</f>
        <v>#N/A</v>
      </c>
      <c r="GE4" s="57" t="e">
        <f ca="1">AVERAGE(OFFSET($GD$3,0,0,'Données projet'!$E$17+1,1))-AVERAGE(OFFSET($H$3,0,0,'Données projet'!$E$17+1,1))</f>
        <v>#N/A</v>
      </c>
      <c r="GF4" s="57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7" t="e">
        <f t="shared" ref="GY4:GY67" si="29">GX4+(GP4+GQ4)*44/12</f>
        <v>#N/A</v>
      </c>
      <c r="GZ4" s="57" t="e">
        <f ca="1">AVERAGE(OFFSET($GY$3,0,0,'Données projet'!$E$18+1,1))-AVERAGE(OFFSET($H$3,0,0,'Données projet'!$E$18+1,1))</f>
        <v>#N/A</v>
      </c>
      <c r="HA4" s="57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0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4">
        <f t="shared" si="1"/>
        <v>256.66666666666669</v>
      </c>
      <c r="I5" s="6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7">
        <f t="shared" si="0"/>
        <v>261.54497706414969</v>
      </c>
      <c r="S5" s="57">
        <f ca="1">AVERAGE(OFFSET($R$3,0,0,'Données projet'!$E$9+1,1))-AVERAGE(OFFSET($H$3,0,0,'Données projet'!$E$9+1,1))</f>
        <v>443.34220761968419</v>
      </c>
      <c r="T5" s="57">
        <f t="shared" ref="T5:T68" si="34">$T$3</f>
        <v>546.58234447298014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6.4</v>
      </c>
      <c r="AI5" s="13">
        <f>IF('Données projet'!$A$62&gt;35,AI4+AH5-AQ4,IF(A5&lt;'Données projet'!$A$62,$AF$205^A5,IF(A5='Données projet'!$A$62,'Données projet'!$B$62,AI4+AH5-AQ4)))</f>
        <v>1.8378193976728823</v>
      </c>
      <c r="AJ5" s="13">
        <f>AI5*VLOOKUP('Données projet'!$B$10,Paramètres!$A$1:$I$89,3,0)*VLOOKUP('Données projet'!$B$10,Paramètres!$A$1:$I$89,5,0)</f>
        <v>0.86009947811090881</v>
      </c>
      <c r="AK5" s="13">
        <f t="shared" ref="AK5:AK68" si="35">EXP(-1.0587+0.8836*LN(AJ5)+0.284)</f>
        <v>0.40338457030844316</v>
      </c>
      <c r="AL5" s="20">
        <f t="shared" si="4"/>
        <v>2.2005680509970378</v>
      </c>
      <c r="AM5" s="57">
        <f t="shared" si="5"/>
        <v>261.31167916210819</v>
      </c>
      <c r="AN5" s="57">
        <f ca="1">AVERAGE(OFFSET($AM$3,0,0,'Données projet'!$E$10+1,1))-AVERAGE(OFFSET($H$3,0,0,'Données projet'!$E$10+1,1))</f>
        <v>524.3999528951972</v>
      </c>
      <c r="AO5" s="57">
        <f t="shared" ref="AO5:AO68" si="36">$AO$3</f>
        <v>459.3547783500515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3.7333333333333334</v>
      </c>
      <c r="BD5" s="12">
        <f>IF('Données projet'!$A$88&gt;35,BD4+BC5-BL4,IF(A5&lt;'Données projet'!$A$88,$BA$205^A5,IF(A5='Données projet'!$A$88,'Données projet'!$B$88,BD4+BC5-BL4)))</f>
        <v>1.7103765633635943</v>
      </c>
      <c r="BE5" s="13">
        <f>BD5*VLOOKUP('Données projet'!$B$11,Paramètres!$A$1:$I$89,3,0)*VLOOKUP('Données projet'!$B$11,Paramètres!$A$1:$I$89,5,0)</f>
        <v>0.82269112697788893</v>
      </c>
      <c r="BF5" s="13">
        <f t="shared" ref="BF5:BF68" si="37">EXP(-1.0587+0.8836*LN(BE5)+0.284)</f>
        <v>0.38784242455930162</v>
      </c>
      <c r="BG5" s="20">
        <f t="shared" si="7"/>
        <v>2.10834593559394</v>
      </c>
      <c r="BH5" s="57">
        <f t="shared" si="8"/>
        <v>261.21945704670509</v>
      </c>
      <c r="BI5" s="57">
        <f ca="1">AVERAGE(OFFSET($BH$3,0,0,'Données projet'!$E$11+1,1))-AVERAGE(OFFSET($H$3,0,0,'Données projet'!$E$11+1,1))</f>
        <v>495.6473104257044</v>
      </c>
      <c r="BJ5" s="57">
        <f t="shared" ref="BJ5:BJ68" si="38">$BJ$3</f>
        <v>430.92527296485201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7.5454545454545459</v>
      </c>
      <c r="BY5" s="12">
        <f>IF('Données projet'!$A$114&gt;35,BY4+BX5-CG4,IF(A5&lt;'Données projet'!$A$114,$BV$205^A5,IF(A5='Données projet'!$A$114,'Données projet'!$B$114,BY4+BX5-CG4)))</f>
        <v>2.2331777364465815</v>
      </c>
      <c r="BZ5" s="13">
        <f>BY5*VLOOKUP('Données projet'!$B$12,Paramètres!$A$1:$I$89,3,0)*VLOOKUP('Données projet'!$B$12,Paramètres!$A$1:$I$89,5,0)</f>
        <v>1.3354402863950559</v>
      </c>
      <c r="CA5" s="13">
        <f t="shared" ref="CA5:CA68" si="39">EXP(-1.0587+0.8836*LN(BZ5)+0.284)</f>
        <v>0.59505053454406853</v>
      </c>
      <c r="CB5" s="20">
        <f t="shared" si="10"/>
        <v>3.3622715131356418</v>
      </c>
      <c r="CC5" s="57">
        <f t="shared" si="11"/>
        <v>262.47338262424677</v>
      </c>
      <c r="CD5" s="57">
        <f ca="1">AVERAGE(OFFSET($CC$3,0,0,'Données projet'!$E$12+1,1))-AVERAGE(OFFSET($H$3,0,0,'Données projet'!$E$12+1,1))</f>
        <v>187.80389738728508</v>
      </c>
      <c r="CE5" s="57">
        <f t="shared" ref="CE5:CE68" si="40">$CE$3</f>
        <v>439.28159165815265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2.1</v>
      </c>
      <c r="CT5" s="12">
        <f>IF('Données projet'!$A$140&gt;35,CT4+CS5-DB4,IF(A5&lt;'Données projet'!$A$140,$CQ$205^A5,IF(A5='Données projet'!$A$140,'Données projet'!$B$140,CT4+CS5-DB4)))</f>
        <v>1.4531984602822681</v>
      </c>
      <c r="CU5" s="17">
        <f>CT5*VLOOKUP('Données projet'!$B$13,Paramètres!$A$1:$I$89,3,0)*VLOOKUP('Données projet'!$B$13,Paramètres!$A$1:$I$89,5,0)</f>
        <v>1.3148539668633961</v>
      </c>
      <c r="CV5" s="13">
        <f t="shared" ref="CV5:CV68" si="41">EXP(-1.0587+0.8836*LN(CU5)+0.284)</f>
        <v>0.58693801963664449</v>
      </c>
      <c r="CW5" s="20">
        <f t="shared" si="13"/>
        <v>3.3122877098209038</v>
      </c>
      <c r="CX5" s="57">
        <f t="shared" si="14"/>
        <v>262.42339882093205</v>
      </c>
      <c r="CY5" s="57">
        <f ca="1">AVERAGE(OFFSET($CX$3,0,0,'Données projet'!$E$13+1,1))-AVERAGE(OFFSET($H$3,0,0,'Données projet'!$E$13+1,1))</f>
        <v>364.3481978218424</v>
      </c>
      <c r="CZ5" s="57">
        <f t="shared" ref="CZ5:CZ68" si="42">$CZ$3</f>
        <v>231.36959598460686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11.5</v>
      </c>
      <c r="DO5" s="12">
        <f>IF('Données projet'!$A$166&gt;35,DO4+DN5-DW4,IF(A5&lt;'Données projet'!$A$166,$DL$205^A5,IF(A5='Données projet'!$A$166,'Données projet'!$B$166,DO4+DN5-DW4)))</f>
        <v>2.5830901781308793</v>
      </c>
      <c r="DP5" s="17">
        <f>DO5*VLOOKUP('Données projet'!$B$14,Paramètres!$A$1:$I$89,3,0)*VLOOKUP('Données projet'!$B$14,Paramètres!$A$1:$I$89,5,0)</f>
        <v>1.8939217186055606</v>
      </c>
      <c r="DQ5" s="13">
        <f t="shared" ref="DQ5:DQ68" si="43">EXP(-1.0587+0.8836*LN(DP5)+0.284)</f>
        <v>0.81026886193479808</v>
      </c>
      <c r="DR5" s="20">
        <f t="shared" si="16"/>
        <v>4.709798594441124</v>
      </c>
      <c r="DS5" s="57">
        <f t="shared" si="17"/>
        <v>263.82090970555225</v>
      </c>
      <c r="DT5" s="57">
        <f ca="1">AVERAGE(OFFSET($DS$3,0,0,'Données projet'!$E$14+1,1))-AVERAGE(OFFSET($H$3,0,0,'Données projet'!$E$14+1,1))</f>
        <v>239.25212250019609</v>
      </c>
      <c r="DU5" s="57">
        <f t="shared" ref="DU5:DU68" si="44">$DU$3</f>
        <v>213.58492101729695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1.6</v>
      </c>
      <c r="EJ5" s="12">
        <f>IF('Données projet'!$A$192&gt;35,EJ4+EI5-ER4,IF(A5&lt;'Données projet'!$A$192,$EG$205^A5,IF(A5='Données projet'!$A$192,'Données projet'!$B$192,EJ4+EI5-ER4)))</f>
        <v>1.4142135623730949</v>
      </c>
      <c r="EK5" s="17">
        <f>EJ5*VLOOKUP('Données projet'!$B$15,Paramètres!$A$1:$I$89,3,0)*VLOOKUP('Données projet'!$B$15,Paramètres!$A$1:$I$89,5,0)</f>
        <v>1.2133952365161156</v>
      </c>
      <c r="EL5" s="13">
        <f t="shared" ref="EL5:EL68" si="45">EXP(-1.0587+0.8836*LN(EK5)+0.284)</f>
        <v>0.54673450619692521</v>
      </c>
      <c r="EM5" s="20">
        <f t="shared" si="19"/>
        <v>3.0655593018918794</v>
      </c>
      <c r="EN5" s="57">
        <f t="shared" si="20"/>
        <v>262.17667041300302</v>
      </c>
      <c r="EO5" s="57">
        <f ca="1">AVERAGE(OFFSET($EN$3,0,0,'Données projet'!$E$15+1,1))-AVERAGE(OFFSET($H$3,0,0,'Données projet'!$E$15+1,1))</f>
        <v>447.10969593632467</v>
      </c>
      <c r="EP5" s="57">
        <f t="shared" ref="EP5:EP68" si="46">$EP$3</f>
        <v>256.77417912163997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7" t="e">
        <f t="shared" si="23"/>
        <v>#N/A</v>
      </c>
      <c r="FJ5" s="57" t="e">
        <f ca="1">AVERAGE(OFFSET($FI$3,0,0,'Données projet'!$E$16+1,1))-AVERAGE(OFFSET($H$3,0,0,'Données projet'!$E$16+1,1))</f>
        <v>#N/A</v>
      </c>
      <c r="FK5" s="57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7" t="e">
        <f t="shared" si="26"/>
        <v>#N/A</v>
      </c>
      <c r="GE5" s="57" t="e">
        <f ca="1">AVERAGE(OFFSET($GD$3,0,0,'Données projet'!$E$17+1,1))-AVERAGE(OFFSET($H$3,0,0,'Données projet'!$E$17+1,1))</f>
        <v>#N/A</v>
      </c>
      <c r="GF5" s="57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7" t="e">
        <f t="shared" si="29"/>
        <v>#N/A</v>
      </c>
      <c r="GZ5" s="57" t="e">
        <f ca="1">AVERAGE(OFFSET($GY$3,0,0,'Données projet'!$E$18+1,1))-AVERAGE(OFFSET($H$3,0,0,'Données projet'!$E$18+1,1))</f>
        <v>#N/A</v>
      </c>
      <c r="HA5" s="57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0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4">
        <f t="shared" si="1"/>
        <v>256.66666666666669</v>
      </c>
      <c r="I6" s="6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7">
        <f t="shared" si="0"/>
        <v>263.48359426836487</v>
      </c>
      <c r="S6" s="57">
        <f ca="1">AVERAGE(OFFSET($R$3,0,0,'Données projet'!$E$9+1,1))-AVERAGE(OFFSET($H$3,0,0,'Données projet'!$E$9+1,1))</f>
        <v>443.34220761968419</v>
      </c>
      <c r="T6" s="57">
        <f t="shared" si="34"/>
        <v>546.58234447298014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6.4</v>
      </c>
      <c r="AI6" s="13">
        <f>IF('Données projet'!$A$62&gt;35,AI5+AH6-AQ5,IF(A6&lt;'Données projet'!$A$62,$AF$205^A6,IF(A6='Données projet'!$A$62,'Données projet'!$B$62,AI5+AH6-AQ5)))</f>
        <v>2.4914618792310348</v>
      </c>
      <c r="AJ6" s="13">
        <f>AI6*VLOOKUP('Données projet'!$B$10,Paramètres!$A$1:$I$89,3,0)*VLOOKUP('Données projet'!$B$10,Paramètres!$A$1:$I$89,5,0)</f>
        <v>1.1660041594801243</v>
      </c>
      <c r="AK6" s="13">
        <f t="shared" si="35"/>
        <v>0.52782295403202251</v>
      </c>
      <c r="AL6" s="20">
        <f t="shared" si="4"/>
        <v>2.9500822227003223</v>
      </c>
      <c r="AM6" s="57">
        <f t="shared" si="5"/>
        <v>263.28341555603362</v>
      </c>
      <c r="AN6" s="57">
        <f ca="1">AVERAGE(OFFSET($AM$3,0,0,'Données projet'!$E$10+1,1))-AVERAGE(OFFSET($H$3,0,0,'Données projet'!$E$10+1,1))</f>
        <v>524.3999528951972</v>
      </c>
      <c r="AO6" s="57">
        <f t="shared" si="36"/>
        <v>459.3547783500515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3.7333333333333334</v>
      </c>
      <c r="BD6" s="12">
        <f>IF('Données projet'!$A$88&gt;35,BD5+BC6-BL5,IF(A6&lt;'Données projet'!$A$88,$BA$205^A6,IF(A6='Données projet'!$A$88,'Données projet'!$B$88,BD5+BC6-BL5)))</f>
        <v>2.2368538294402889</v>
      </c>
      <c r="BE6" s="13">
        <f>BD6*VLOOKUP('Données projet'!$B$11,Paramètres!$A$1:$I$89,3,0)*VLOOKUP('Données projet'!$B$11,Paramètres!$A$1:$I$89,5,0)</f>
        <v>1.0759266919607788</v>
      </c>
      <c r="BF6" s="13">
        <f t="shared" si="37"/>
        <v>0.49162645244612219</v>
      </c>
      <c r="BG6" s="20">
        <f t="shared" si="7"/>
        <v>2.7301550598420192</v>
      </c>
      <c r="BH6" s="57">
        <f t="shared" si="8"/>
        <v>263.06348839317536</v>
      </c>
      <c r="BI6" s="57">
        <f ca="1">AVERAGE(OFFSET($BH$3,0,0,'Données projet'!$E$11+1,1))-AVERAGE(OFFSET($H$3,0,0,'Données projet'!$E$11+1,1))</f>
        <v>495.6473104257044</v>
      </c>
      <c r="BJ6" s="57">
        <f t="shared" si="38"/>
        <v>430.92527296485201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7.5454545454545459</v>
      </c>
      <c r="BY6" s="12">
        <f>IF('Données projet'!$A$114&gt;35,BY5+BX6-CG5,IF(A6&lt;'Données projet'!$A$114,$BV$205^A6,IF(A6='Données projet'!$A$114,'Données projet'!$B$114,BY5+BX6-CG5)))</f>
        <v>3.337220742548225</v>
      </c>
      <c r="BZ6" s="13">
        <f>BY6*VLOOKUP('Données projet'!$B$12,Paramètres!$A$1:$I$89,3,0)*VLOOKUP('Données projet'!$B$12,Paramètres!$A$1:$I$89,5,0)</f>
        <v>1.9956580040438385</v>
      </c>
      <c r="CA6" s="13">
        <f t="shared" si="39"/>
        <v>0.84861002696285914</v>
      </c>
      <c r="CB6" s="20">
        <f t="shared" si="10"/>
        <v>4.9537668206699985</v>
      </c>
      <c r="CC6" s="57">
        <f t="shared" si="11"/>
        <v>265.28710015400333</v>
      </c>
      <c r="CD6" s="57">
        <f ca="1">AVERAGE(OFFSET($CC$3,0,0,'Données projet'!$E$12+1,1))-AVERAGE(OFFSET($H$3,0,0,'Données projet'!$E$12+1,1))</f>
        <v>187.80389738728508</v>
      </c>
      <c r="CE6" s="57">
        <f t="shared" si="40"/>
        <v>439.28159165815265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2.1</v>
      </c>
      <c r="CT6" s="12">
        <f>IF('Données projet'!$A$140&gt;35,CT5+CS6-DB5,IF(A6&lt;'Données projet'!$A$140,$CQ$205^A6,IF(A6='Données projet'!$A$140,'Données projet'!$B$140,CT5+CS6-DB5)))</f>
        <v>1.7518115829322798</v>
      </c>
      <c r="CU6" s="17">
        <f>CT6*VLOOKUP('Données projet'!$B$13,Paramètres!$A$1:$I$89,3,0)*VLOOKUP('Données projet'!$B$13,Paramètres!$A$1:$I$89,5,0)</f>
        <v>1.5850391202371266</v>
      </c>
      <c r="CV6" s="13">
        <f t="shared" si="41"/>
        <v>0.69232082604846479</v>
      </c>
      <c r="CW6" s="20">
        <f t="shared" si="13"/>
        <v>3.966401906447405</v>
      </c>
      <c r="CX6" s="57">
        <f t="shared" si="14"/>
        <v>264.29973523978072</v>
      </c>
      <c r="CY6" s="57">
        <f ca="1">AVERAGE(OFFSET($CX$3,0,0,'Données projet'!$E$13+1,1))-AVERAGE(OFFSET($H$3,0,0,'Données projet'!$E$13+1,1))</f>
        <v>364.3481978218424</v>
      </c>
      <c r="CZ6" s="57">
        <f t="shared" si="42"/>
        <v>231.36959598460686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11.5</v>
      </c>
      <c r="DO6" s="12">
        <f>IF('Données projet'!$A$166&gt;35,DO5+DN6-DW5,IF(A6&lt;'Données projet'!$A$166,$DL$205^A6,IF(A6='Données projet'!$A$166,'Données projet'!$B$166,DO5+DN6-DW5)))</f>
        <v>4.1515411988145683</v>
      </c>
      <c r="DP6" s="17">
        <f>DO6*VLOOKUP('Données projet'!$B$14,Paramètres!$A$1:$I$89,3,0)*VLOOKUP('Données projet'!$B$14,Paramètres!$A$1:$I$89,5,0)</f>
        <v>3.0439100069708416</v>
      </c>
      <c r="DQ6" s="13">
        <f t="shared" si="43"/>
        <v>1.2322885431422059</v>
      </c>
      <c r="DR6" s="20">
        <f t="shared" si="16"/>
        <v>7.447712474780225</v>
      </c>
      <c r="DS6" s="57">
        <f t="shared" si="17"/>
        <v>267.78104580811356</v>
      </c>
      <c r="DT6" s="57">
        <f ca="1">AVERAGE(OFFSET($DS$3,0,0,'Données projet'!$E$14+1,1))-AVERAGE(OFFSET($H$3,0,0,'Données projet'!$E$14+1,1))</f>
        <v>239.25212250019609</v>
      </c>
      <c r="DU6" s="57">
        <f t="shared" si="44"/>
        <v>213.58492101729695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1.6</v>
      </c>
      <c r="EJ6" s="12">
        <f>IF('Données projet'!$A$192&gt;35,EJ5+EI6-ER5,IF(A6&lt;'Données projet'!$A$192,$EG$205^A6,IF(A6='Données projet'!$A$192,'Données projet'!$B$192,EJ5+EI6-ER5)))</f>
        <v>1.6817928305074288</v>
      </c>
      <c r="EK6" s="17">
        <f>EJ6*VLOOKUP('Données projet'!$B$15,Paramètres!$A$1:$I$89,3,0)*VLOOKUP('Données projet'!$B$15,Paramètres!$A$1:$I$89,5,0)</f>
        <v>1.4429782485753739</v>
      </c>
      <c r="EL6" s="13">
        <f t="shared" si="45"/>
        <v>0.6371974227238163</v>
      </c>
      <c r="EM6" s="20">
        <f t="shared" si="19"/>
        <v>3.6229726275127558</v>
      </c>
      <c r="EN6" s="57">
        <f t="shared" si="20"/>
        <v>263.95630596084607</v>
      </c>
      <c r="EO6" s="57">
        <f ca="1">AVERAGE(OFFSET($EN$3,0,0,'Données projet'!$E$15+1,1))-AVERAGE(OFFSET($H$3,0,0,'Données projet'!$E$15+1,1))</f>
        <v>447.10969593632467</v>
      </c>
      <c r="EP6" s="57">
        <f t="shared" si="46"/>
        <v>256.77417912163997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7" t="e">
        <f t="shared" si="23"/>
        <v>#N/A</v>
      </c>
      <c r="FJ6" s="57" t="e">
        <f ca="1">AVERAGE(OFFSET($FI$3,0,0,'Données projet'!$E$16+1,1))-AVERAGE(OFFSET($H$3,0,0,'Données projet'!$E$16+1,1))</f>
        <v>#N/A</v>
      </c>
      <c r="FK6" s="57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7" t="e">
        <f t="shared" si="26"/>
        <v>#N/A</v>
      </c>
      <c r="GE6" s="57" t="e">
        <f ca="1">AVERAGE(OFFSET($GD$3,0,0,'Données projet'!$E$17+1,1))-AVERAGE(OFFSET($H$3,0,0,'Données projet'!$E$17+1,1))</f>
        <v>#N/A</v>
      </c>
      <c r="GF6" s="57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7" t="e">
        <f t="shared" si="29"/>
        <v>#N/A</v>
      </c>
      <c r="GZ6" s="57" t="e">
        <f ca="1">AVERAGE(OFFSET($GY$3,0,0,'Données projet'!$E$18+1,1))-AVERAGE(OFFSET($H$3,0,0,'Données projet'!$E$18+1,1))</f>
        <v>#N/A</v>
      </c>
      <c r="HA6" s="57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0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4">
        <f t="shared" si="1"/>
        <v>256.66666666666669</v>
      </c>
      <c r="I7" s="6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7">
        <f t="shared" si="0"/>
        <v>265.63392560576659</v>
      </c>
      <c r="S7" s="57">
        <f ca="1">AVERAGE(OFFSET($R$3,0,0,'Données projet'!$E$9+1,1))-AVERAGE(OFFSET($H$3,0,0,'Données projet'!$E$9+1,1))</f>
        <v>443.34220761968419</v>
      </c>
      <c r="T7" s="57">
        <f t="shared" si="34"/>
        <v>546.58234447298014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6.4</v>
      </c>
      <c r="AI7" s="13">
        <f>IF('Données projet'!$A$62&gt;35,AI6+AH7-AQ6,IF(A7&lt;'Données projet'!$A$62,$AF$205^A7,IF(A7='Données projet'!$A$62,'Données projet'!$B$62,AI6+AH7-AQ6)))</f>
        <v>3.377580138462716</v>
      </c>
      <c r="AJ7" s="13">
        <f>AI7*VLOOKUP('Données projet'!$B$10,Paramètres!$A$1:$I$89,3,0)*VLOOKUP('Données projet'!$B$10,Paramètres!$A$1:$I$89,5,0)</f>
        <v>1.580707504800551</v>
      </c>
      <c r="AK7" s="13">
        <f t="shared" si="35"/>
        <v>0.69064880342365254</v>
      </c>
      <c r="AL7" s="20">
        <f t="shared" si="4"/>
        <v>3.9559455701571538</v>
      </c>
      <c r="AM7" s="57">
        <f t="shared" si="5"/>
        <v>265.5115011257127</v>
      </c>
      <c r="AN7" s="57">
        <f ca="1">AVERAGE(OFFSET($AM$3,0,0,'Données projet'!$E$10+1,1))-AVERAGE(OFFSET($H$3,0,0,'Données projet'!$E$10+1,1))</f>
        <v>524.3999528951972</v>
      </c>
      <c r="AO7" s="57">
        <f t="shared" si="36"/>
        <v>459.3547783500515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3.7333333333333334</v>
      </c>
      <c r="BD7" s="12">
        <f>IF('Données projet'!$A$88&gt;35,BD6+BC7-BL6,IF(A7&lt;'Données projet'!$A$88,$BA$205^A7,IF(A7='Données projet'!$A$88,'Données projet'!$B$88,BD6+BC7-BL6)))</f>
        <v>2.9253879885034593</v>
      </c>
      <c r="BE7" s="13">
        <f>BD7*VLOOKUP('Données projet'!$B$11,Paramètres!$A$1:$I$89,3,0)*VLOOKUP('Données projet'!$B$11,Paramètres!$A$1:$I$89,5,0)</f>
        <v>1.4071116224701639</v>
      </c>
      <c r="BF7" s="13">
        <f t="shared" si="37"/>
        <v>0.62318238913495549</v>
      </c>
      <c r="BG7" s="20">
        <f t="shared" si="7"/>
        <v>3.5360954035455823</v>
      </c>
      <c r="BH7" s="57">
        <f t="shared" si="8"/>
        <v>265.09165095910112</v>
      </c>
      <c r="BI7" s="57">
        <f ca="1">AVERAGE(OFFSET($BH$3,0,0,'Données projet'!$E$11+1,1))-AVERAGE(OFFSET($H$3,0,0,'Données projet'!$E$11+1,1))</f>
        <v>495.6473104257044</v>
      </c>
      <c r="BJ7" s="57">
        <f t="shared" si="38"/>
        <v>430.92527296485201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7.5454545454545459</v>
      </c>
      <c r="BY7" s="12">
        <f>IF('Données projet'!$A$114&gt;35,BY6+BX7-CG6,IF(A7&lt;'Données projet'!$A$114,$BV$205^A7,IF(A7='Données projet'!$A$114,'Données projet'!$B$114,BY6+BX7-CG6)))</f>
        <v>4.9870828025606775</v>
      </c>
      <c r="BZ7" s="13">
        <f>BY7*VLOOKUP('Données projet'!$B$12,Paramètres!$A$1:$I$89,3,0)*VLOOKUP('Données projet'!$B$12,Paramètres!$A$1:$I$89,5,0)</f>
        <v>2.9822755159312857</v>
      </c>
      <c r="CA7" s="13">
        <f t="shared" si="39"/>
        <v>1.2102148238782438</v>
      </c>
      <c r="CB7" s="20">
        <f t="shared" si="10"/>
        <v>7.3019206751682626</v>
      </c>
      <c r="CC7" s="57">
        <f t="shared" si="11"/>
        <v>268.85747623072382</v>
      </c>
      <c r="CD7" s="57">
        <f ca="1">AVERAGE(OFFSET($CC$3,0,0,'Données projet'!$E$12+1,1))-AVERAGE(OFFSET($H$3,0,0,'Données projet'!$E$12+1,1))</f>
        <v>187.80389738728508</v>
      </c>
      <c r="CE7" s="57">
        <f t="shared" si="40"/>
        <v>439.28159165815265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2.1</v>
      </c>
      <c r="CT7" s="12">
        <f>IF('Données projet'!$A$140&gt;35,CT6+CS7-DB6,IF(A7&lt;'Données projet'!$A$140,$CQ$205^A7,IF(A7='Données projet'!$A$140,'Données projet'!$B$140,CT6+CS7-DB6)))</f>
        <v>2.1117857649667546</v>
      </c>
      <c r="CU7" s="17">
        <f>CT7*VLOOKUP('Données projet'!$B$13,Paramètres!$A$1:$I$89,3,0)*VLOOKUP('Données projet'!$B$13,Paramètres!$A$1:$I$89,5,0)</f>
        <v>1.9107437601419195</v>
      </c>
      <c r="CV7" s="13">
        <f t="shared" si="41"/>
        <v>0.81662477151702284</v>
      </c>
      <c r="CW7" s="20">
        <f t="shared" si="13"/>
        <v>4.7501668593059909</v>
      </c>
      <c r="CX7" s="57">
        <f t="shared" si="14"/>
        <v>266.30572241486152</v>
      </c>
      <c r="CY7" s="57">
        <f ca="1">AVERAGE(OFFSET($CX$3,0,0,'Données projet'!$E$13+1,1))-AVERAGE(OFFSET($H$3,0,0,'Données projet'!$E$13+1,1))</f>
        <v>364.3481978218424</v>
      </c>
      <c r="CZ7" s="57">
        <f t="shared" si="42"/>
        <v>231.36959598460686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11.5</v>
      </c>
      <c r="DO7" s="12">
        <f>IF('Données projet'!$A$166&gt;35,DO6+DN7-DW6,IF(A7&lt;'Données projet'!$A$166,$DL$205^A7,IF(A7='Données projet'!$A$166,'Données projet'!$B$166,DO6+DN7-DW6)))</f>
        <v>6.6723548683562175</v>
      </c>
      <c r="DP7" s="17">
        <f>DO7*VLOOKUP('Données projet'!$B$14,Paramètres!$A$1:$I$89,3,0)*VLOOKUP('Données projet'!$B$14,Paramètres!$A$1:$I$89,5,0)</f>
        <v>4.8921705894787788</v>
      </c>
      <c r="DQ7" s="13">
        <f t="shared" si="43"/>
        <v>1.8741125629997808</v>
      </c>
      <c r="DR7" s="20">
        <f t="shared" si="16"/>
        <v>11.784609823900155</v>
      </c>
      <c r="DS7" s="57">
        <f t="shared" si="17"/>
        <v>273.3401653794557</v>
      </c>
      <c r="DT7" s="57">
        <f ca="1">AVERAGE(OFFSET($DS$3,0,0,'Données projet'!$E$14+1,1))-AVERAGE(OFFSET($H$3,0,0,'Données projet'!$E$14+1,1))</f>
        <v>239.25212250019609</v>
      </c>
      <c r="DU7" s="57">
        <f t="shared" si="44"/>
        <v>213.58492101729695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1.6</v>
      </c>
      <c r="EJ7" s="12">
        <f>IF('Données projet'!$A$192&gt;35,EJ6+EI7-ER6,IF(A7&lt;'Données projet'!$A$192,$EG$205^A7,IF(A7='Données projet'!$A$192,'Données projet'!$B$192,EJ6+EI7-ER6)))</f>
        <v>1.9999999999999996</v>
      </c>
      <c r="EK7" s="17">
        <f>EJ7*VLOOKUP('Données projet'!$B$15,Paramètres!$A$1:$I$89,3,0)*VLOOKUP('Données projet'!$B$15,Paramètres!$A$1:$I$89,5,0)</f>
        <v>1.7159999999999997</v>
      </c>
      <c r="EL7" s="13">
        <f t="shared" si="45"/>
        <v>0.74262837066960552</v>
      </c>
      <c r="EM7" s="20">
        <f t="shared" si="19"/>
        <v>4.2821110789162296</v>
      </c>
      <c r="EN7" s="57">
        <f t="shared" si="20"/>
        <v>265.83766663447176</v>
      </c>
      <c r="EO7" s="57">
        <f ca="1">AVERAGE(OFFSET($EN$3,0,0,'Données projet'!$E$15+1,1))-AVERAGE(OFFSET($H$3,0,0,'Données projet'!$E$15+1,1))</f>
        <v>447.10969593632467</v>
      </c>
      <c r="EP7" s="57">
        <f t="shared" si="46"/>
        <v>256.77417912163997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7" t="e">
        <f t="shared" si="23"/>
        <v>#N/A</v>
      </c>
      <c r="FJ7" s="57" t="e">
        <f ca="1">AVERAGE(OFFSET($FI$3,0,0,'Données projet'!$E$16+1,1))-AVERAGE(OFFSET($H$3,0,0,'Données projet'!$E$16+1,1))</f>
        <v>#N/A</v>
      </c>
      <c r="FK7" s="57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7" t="e">
        <f t="shared" si="26"/>
        <v>#N/A</v>
      </c>
      <c r="GE7" s="57" t="e">
        <f ca="1">AVERAGE(OFFSET($GD$3,0,0,'Données projet'!$E$17+1,1))-AVERAGE(OFFSET($H$3,0,0,'Données projet'!$E$17+1,1))</f>
        <v>#N/A</v>
      </c>
      <c r="GF7" s="57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7" t="e">
        <f t="shared" si="29"/>
        <v>#N/A</v>
      </c>
      <c r="GZ7" s="57" t="e">
        <f ca="1">AVERAGE(OFFSET($GY$3,0,0,'Données projet'!$E$18+1,1))-AVERAGE(OFFSET($H$3,0,0,'Données projet'!$E$18+1,1))</f>
        <v>#N/A</v>
      </c>
      <c r="HA7" s="57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0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4">
        <f t="shared" si="1"/>
        <v>256.66666666666669</v>
      </c>
      <c r="I8" s="6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7">
        <f t="shared" si="0"/>
        <v>268.05877425367106</v>
      </c>
      <c r="S8" s="57">
        <f ca="1">AVERAGE(OFFSET($R$3,0,0,'Données projet'!$E$9+1,1))-AVERAGE(OFFSET($H$3,0,0,'Données projet'!$E$9+1,1))</f>
        <v>443.34220761968419</v>
      </c>
      <c r="T8" s="57">
        <f t="shared" si="34"/>
        <v>546.58234447298014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6.4</v>
      </c>
      <c r="AI8" s="13">
        <f>IF('Données projet'!$A$62&gt;35,AI7+AH8-AQ7,IF(A8&lt;'Données projet'!$A$62,$AF$205^A8,IF(A8='Données projet'!$A$62,'Données projet'!$B$62,AI7+AH8-AQ7)))</f>
        <v>4.5788569702133275</v>
      </c>
      <c r="AJ8" s="13">
        <f>AI8*VLOOKUP('Données projet'!$B$10,Paramètres!$A$1:$I$89,3,0)*VLOOKUP('Données projet'!$B$10,Paramètres!$A$1:$I$89,5,0)</f>
        <v>2.1429050620598371</v>
      </c>
      <c r="AK8" s="13">
        <f t="shared" si="35"/>
        <v>0.90370410386052324</v>
      </c>
      <c r="AL8" s="20">
        <f t="shared" si="4"/>
        <v>5.3061776306446271</v>
      </c>
      <c r="AM8" s="57">
        <f t="shared" si="5"/>
        <v>268.08395540842241</v>
      </c>
      <c r="AN8" s="57">
        <f ca="1">AVERAGE(OFFSET($AM$3,0,0,'Données projet'!$E$10+1,1))-AVERAGE(OFFSET($H$3,0,0,'Données projet'!$E$10+1,1))</f>
        <v>524.3999528951972</v>
      </c>
      <c r="AO8" s="57">
        <f t="shared" si="36"/>
        <v>459.3547783500515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3.7333333333333334</v>
      </c>
      <c r="BD8" s="12">
        <f>IF('Données projet'!$A$88&gt;35,BD7+BC8-BL7,IF(A8&lt;'Données projet'!$A$88,$BA$205^A8,IF(A8='Données projet'!$A$88,'Données projet'!$B$88,BD7+BC8-BL7)))</f>
        <v>3.8258623655447765</v>
      </c>
      <c r="BE8" s="13">
        <f>BD8*VLOOKUP('Données projet'!$B$11,Paramètres!$A$1:$I$89,3,0)*VLOOKUP('Données projet'!$B$11,Paramètres!$A$1:$I$89,5,0)</f>
        <v>1.8402397978270375</v>
      </c>
      <c r="BF8" s="13">
        <f t="shared" si="37"/>
        <v>0.78994181089251181</v>
      </c>
      <c r="BG8" s="20">
        <f t="shared" si="7"/>
        <v>4.5808996351865483</v>
      </c>
      <c r="BH8" s="57">
        <f t="shared" si="8"/>
        <v>267.35867741296431</v>
      </c>
      <c r="BI8" s="57">
        <f ca="1">AVERAGE(OFFSET($BH$3,0,0,'Données projet'!$E$11+1,1))-AVERAGE(OFFSET($H$3,0,0,'Données projet'!$E$11+1,1))</f>
        <v>495.6473104257044</v>
      </c>
      <c r="BJ8" s="57">
        <f t="shared" si="38"/>
        <v>430.92527296485201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7.5454545454545459</v>
      </c>
      <c r="BY8" s="12">
        <f>IF('Données projet'!$A$114&gt;35,BY7+BX8-CG7,IF(A8&lt;'Données projet'!$A$114,$BV$205^A8,IF(A8='Données projet'!$A$114,'Données projet'!$B$114,BY7+BX8-CG7)))</f>
        <v>7.4526070638664255</v>
      </c>
      <c r="BZ8" s="13">
        <f>BY8*VLOOKUP('Données projet'!$B$12,Paramètres!$A$1:$I$89,3,0)*VLOOKUP('Données projet'!$B$12,Paramètres!$A$1:$I$89,5,0)</f>
        <v>4.4566590241921231</v>
      </c>
      <c r="CA8" s="13">
        <f t="shared" si="39"/>
        <v>1.7259045655829262</v>
      </c>
      <c r="CB8" s="20">
        <f t="shared" si="10"/>
        <v>10.76796491885821</v>
      </c>
      <c r="CC8" s="57">
        <f t="shared" si="11"/>
        <v>273.54574269663595</v>
      </c>
      <c r="CD8" s="57">
        <f ca="1">AVERAGE(OFFSET($CC$3,0,0,'Données projet'!$E$12+1,1))-AVERAGE(OFFSET($H$3,0,0,'Données projet'!$E$12+1,1))</f>
        <v>187.80389738728508</v>
      </c>
      <c r="CE8" s="57">
        <f t="shared" si="40"/>
        <v>439.28159165815265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2.1</v>
      </c>
      <c r="CT8" s="12">
        <f>IF('Données projet'!$A$140&gt;35,CT7+CS8-DB7,IF(A8&lt;'Données projet'!$A$140,$CQ$205^A8,IF(A8='Données projet'!$A$140,'Données projet'!$B$140,CT7+CS8-DB7)))</f>
        <v>2.5457298950218314</v>
      </c>
      <c r="CU8" s="17">
        <f>CT8*VLOOKUP('Données projet'!$B$13,Paramètres!$A$1:$I$89,3,0)*VLOOKUP('Données projet'!$B$13,Paramètres!$A$1:$I$89,5,0)</f>
        <v>2.3033764090157529</v>
      </c>
      <c r="CV8" s="13">
        <f t="shared" si="41"/>
        <v>0.96324708482559218</v>
      </c>
      <c r="CW8" s="20">
        <f t="shared" si="13"/>
        <v>5.6893692517736758</v>
      </c>
      <c r="CX8" s="57">
        <f t="shared" si="14"/>
        <v>268.46714702955143</v>
      </c>
      <c r="CY8" s="57">
        <f ca="1">AVERAGE(OFFSET($CX$3,0,0,'Données projet'!$E$13+1,1))-AVERAGE(OFFSET($H$3,0,0,'Données projet'!$E$13+1,1))</f>
        <v>364.3481978218424</v>
      </c>
      <c r="CZ8" s="57">
        <f t="shared" si="42"/>
        <v>231.36959598460686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11.5</v>
      </c>
      <c r="DO8" s="12">
        <f>IF('Données projet'!$A$166&gt;35,DO7+DN8-DW7,IF(A8&lt;'Données projet'!$A$166,$DL$205^A8,IF(A8='Données projet'!$A$166,'Données projet'!$B$166,DO7+DN8-DW7)))</f>
        <v>10.723805294763606</v>
      </c>
      <c r="DP8" s="17">
        <f>DO8*VLOOKUP('Données projet'!$B$14,Paramètres!$A$1:$I$89,3,0)*VLOOKUP('Données projet'!$B$14,Paramètres!$A$1:$I$89,5,0)</f>
        <v>7.8626940421206752</v>
      </c>
      <c r="DQ8" s="13">
        <f t="shared" si="43"/>
        <v>2.8502236090239195</v>
      </c>
      <c r="DR8" s="20">
        <f t="shared" si="16"/>
        <v>18.658331575743503</v>
      </c>
      <c r="DS8" s="57">
        <f t="shared" si="17"/>
        <v>281.43610935352126</v>
      </c>
      <c r="DT8" s="57">
        <f ca="1">AVERAGE(OFFSET($DS$3,0,0,'Données projet'!$E$14+1,1))-AVERAGE(OFFSET($H$3,0,0,'Données projet'!$E$14+1,1))</f>
        <v>239.25212250019609</v>
      </c>
      <c r="DU8" s="57">
        <f t="shared" si="44"/>
        <v>213.58492101729695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1.6</v>
      </c>
      <c r="EJ8" s="12">
        <f>IF('Données projet'!$A$192&gt;35,EJ7+EI8-ER7,IF(A8&lt;'Données projet'!$A$192,$EG$205^A8,IF(A8='Données projet'!$A$192,'Données projet'!$B$192,EJ7+EI8-ER7)))</f>
        <v>2.3784142300054416</v>
      </c>
      <c r="EK8" s="17">
        <f>EJ8*VLOOKUP('Données projet'!$B$15,Paramètres!$A$1:$I$89,3,0)*VLOOKUP('Données projet'!$B$15,Paramètres!$A$1:$I$89,5,0)</f>
        <v>2.0406794093446692</v>
      </c>
      <c r="EL8" s="13">
        <f t="shared" si="45"/>
        <v>0.86550396667632346</v>
      </c>
      <c r="EM8" s="20">
        <f t="shared" si="19"/>
        <v>5.061602713236562</v>
      </c>
      <c r="EN8" s="57">
        <f t="shared" si="20"/>
        <v>267.83938049101431</v>
      </c>
      <c r="EO8" s="57">
        <f ca="1">AVERAGE(OFFSET($EN$3,0,0,'Données projet'!$E$15+1,1))-AVERAGE(OFFSET($H$3,0,0,'Données projet'!$E$15+1,1))</f>
        <v>447.10969593632467</v>
      </c>
      <c r="EP8" s="57">
        <f t="shared" si="46"/>
        <v>256.77417912163997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7" t="e">
        <f t="shared" si="23"/>
        <v>#N/A</v>
      </c>
      <c r="FJ8" s="57" t="e">
        <f ca="1">AVERAGE(OFFSET($FI$3,0,0,'Données projet'!$E$16+1,1))-AVERAGE(OFFSET($H$3,0,0,'Données projet'!$E$16+1,1))</f>
        <v>#N/A</v>
      </c>
      <c r="FK8" s="57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7" t="e">
        <f t="shared" si="26"/>
        <v>#N/A</v>
      </c>
      <c r="GE8" s="57" t="e">
        <f ca="1">AVERAGE(OFFSET($GD$3,0,0,'Données projet'!$E$17+1,1))-AVERAGE(OFFSET($H$3,0,0,'Données projet'!$E$17+1,1))</f>
        <v>#N/A</v>
      </c>
      <c r="GF8" s="57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7" t="e">
        <f t="shared" si="29"/>
        <v>#N/A</v>
      </c>
      <c r="GZ8" s="57" t="e">
        <f ca="1">AVERAGE(OFFSET($GY$3,0,0,'Données projet'!$E$18+1,1))-AVERAGE(OFFSET($H$3,0,0,'Données projet'!$E$18+1,1))</f>
        <v>#N/A</v>
      </c>
      <c r="HA8" s="57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0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4">
        <f t="shared" si="1"/>
        <v>256.66666666666669</v>
      </c>
      <c r="I9" s="6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7">
        <f t="shared" si="0"/>
        <v>270.83963883937986</v>
      </c>
      <c r="S9" s="57">
        <f ca="1">AVERAGE(OFFSET($R$3,0,0,'Données projet'!$E$9+1,1))-AVERAGE(OFFSET($H$3,0,0,'Données projet'!$E$9+1,1))</f>
        <v>443.34220761968419</v>
      </c>
      <c r="T9" s="57">
        <f t="shared" si="34"/>
        <v>546.58234447298014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6.4</v>
      </c>
      <c r="AI9" s="13">
        <f>IF('Données projet'!$A$62&gt;35,AI8+AH9-AQ8,IF(A9&lt;'Données projet'!$A$62,$AF$205^A9,IF(A9='Données projet'!$A$62,'Données projet'!$B$62,AI8+AH9-AQ8)))</f>
        <v>6.2073822956614393</v>
      </c>
      <c r="AJ9" s="13">
        <f>AI9*VLOOKUP('Données projet'!$B$10,Paramètres!$A$1:$I$89,3,0)*VLOOKUP('Données projet'!$B$10,Paramètres!$A$1:$I$89,5,0)</f>
        <v>2.9050549143695537</v>
      </c>
      <c r="AK9" s="13">
        <f t="shared" si="35"/>
        <v>1.1824839242259417</v>
      </c>
      <c r="AL9" s="20">
        <f t="shared" si="4"/>
        <v>7.1191301438871548</v>
      </c>
      <c r="AM9" s="57">
        <f t="shared" si="5"/>
        <v>271.11913014388716</v>
      </c>
      <c r="AN9" s="57">
        <f ca="1">AVERAGE(OFFSET($AM$3,0,0,'Données projet'!$E$10+1,1))-AVERAGE(OFFSET($H$3,0,0,'Données projet'!$E$10+1,1))</f>
        <v>524.3999528951972</v>
      </c>
      <c r="AO9" s="57">
        <f t="shared" si="36"/>
        <v>459.3547783500515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3.7333333333333334</v>
      </c>
      <c r="BD9" s="12">
        <f>IF('Données projet'!$A$88&gt;35,BD8+BC9-BL8,IF(A9&lt;'Données projet'!$A$88,$BA$205^A9,IF(A9='Données projet'!$A$88,'Données projet'!$B$88,BD8+BC9-BL8)))</f>
        <v>5.0035150542816851</v>
      </c>
      <c r="BE9" s="13">
        <f>BD9*VLOOKUP('Données projet'!$B$11,Paramètres!$A$1:$I$89,3,0)*VLOOKUP('Données projet'!$B$11,Paramètres!$A$1:$I$89,5,0)</f>
        <v>2.4066907411094909</v>
      </c>
      <c r="BF9" s="13">
        <f t="shared" si="37"/>
        <v>1.001324933880644</v>
      </c>
      <c r="BG9" s="20">
        <f t="shared" si="7"/>
        <v>5.9356273006078171</v>
      </c>
      <c r="BH9" s="57">
        <f t="shared" si="8"/>
        <v>269.93562730060779</v>
      </c>
      <c r="BI9" s="57">
        <f ca="1">AVERAGE(OFFSET($BH$3,0,0,'Données projet'!$E$11+1,1))-AVERAGE(OFFSET($H$3,0,0,'Données projet'!$E$11+1,1))</f>
        <v>495.6473104257044</v>
      </c>
      <c r="BJ9" s="57">
        <f t="shared" si="38"/>
        <v>430.92527296485201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7.5454545454545459</v>
      </c>
      <c r="BY9" s="12">
        <f>IF('Données projet'!$A$114&gt;35,BY8+BX9-CG8,IF(A9&lt;'Données projet'!$A$114,$BV$205^A9,IF(A9='Données projet'!$A$114,'Données projet'!$B$114,BY8+BX9-CG8)))</f>
        <v>11.137042284494127</v>
      </c>
      <c r="BZ9" s="13">
        <f>BY9*VLOOKUP('Données projet'!$B$12,Paramètres!$A$1:$I$89,3,0)*VLOOKUP('Données projet'!$B$12,Paramètres!$A$1:$I$89,5,0)</f>
        <v>6.6599512861274883</v>
      </c>
      <c r="CA9" s="13">
        <f t="shared" si="39"/>
        <v>2.461337037629669</v>
      </c>
      <c r="CB9" s="20">
        <f t="shared" si="10"/>
        <v>15.886243830543714</v>
      </c>
      <c r="CC9" s="57">
        <f t="shared" si="11"/>
        <v>279.88624383054372</v>
      </c>
      <c r="CD9" s="57">
        <f ca="1">AVERAGE(OFFSET($CC$3,0,0,'Données projet'!$E$12+1,1))-AVERAGE(OFFSET($H$3,0,0,'Données projet'!$E$12+1,1))</f>
        <v>187.80389738728508</v>
      </c>
      <c r="CE9" s="57">
        <f t="shared" si="40"/>
        <v>439.28159165815265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2.1</v>
      </c>
      <c r="CT9" s="12">
        <f>IF('Données projet'!$A$140&gt;35,CT8+CS9-DB8,IF(A9&lt;'Données projet'!$A$140,$CQ$205^A9,IF(A9='Données projet'!$A$140,'Données projet'!$B$140,CT8+CS9-DB8)))</f>
        <v>3.0688438220956993</v>
      </c>
      <c r="CU9" s="17">
        <f>CT9*VLOOKUP('Données projet'!$B$13,Paramètres!$A$1:$I$89,3,0)*VLOOKUP('Données projet'!$B$13,Paramètres!$A$1:$I$89,5,0)</f>
        <v>2.7766898902321886</v>
      </c>
      <c r="CV9" s="13">
        <f t="shared" si="41"/>
        <v>1.1361949561012803</v>
      </c>
      <c r="CW9" s="20">
        <f t="shared" si="13"/>
        <v>6.8149411073641248</v>
      </c>
      <c r="CX9" s="57">
        <f t="shared" si="14"/>
        <v>270.81494110736412</v>
      </c>
      <c r="CY9" s="57">
        <f ca="1">AVERAGE(OFFSET($CX$3,0,0,'Données projet'!$E$13+1,1))-AVERAGE(OFFSET($H$3,0,0,'Données projet'!$E$13+1,1))</f>
        <v>364.3481978218424</v>
      </c>
      <c r="CZ9" s="57">
        <f t="shared" si="42"/>
        <v>231.36959598460686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11.5</v>
      </c>
      <c r="DO9" s="12">
        <f>IF('Données projet'!$A$166&gt;35,DO8+DN9-DW8,IF(A9&lt;'Données projet'!$A$166,$DL$205^A9,IF(A9='Données projet'!$A$166,'Données projet'!$B$166,DO8+DN9-DW8)))</f>
        <v>17.235294325454703</v>
      </c>
      <c r="DP9" s="17">
        <f>DO9*VLOOKUP('Données projet'!$B$14,Paramètres!$A$1:$I$89,3,0)*VLOOKUP('Données projet'!$B$14,Paramètres!$A$1:$I$89,5,0)</f>
        <v>12.636917799423388</v>
      </c>
      <c r="DQ9" s="13">
        <f t="shared" si="43"/>
        <v>4.3347314253281013</v>
      </c>
      <c r="DR9" s="20">
        <f t="shared" si="16"/>
        <v>29.558955733108835</v>
      </c>
      <c r="DS9" s="57">
        <f t="shared" si="17"/>
        <v>293.55895573310886</v>
      </c>
      <c r="DT9" s="57">
        <f ca="1">AVERAGE(OFFSET($DS$3,0,0,'Données projet'!$E$14+1,1))-AVERAGE(OFFSET($H$3,0,0,'Données projet'!$E$14+1,1))</f>
        <v>239.25212250019609</v>
      </c>
      <c r="DU9" s="57">
        <f t="shared" si="44"/>
        <v>213.58492101729695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1.6</v>
      </c>
      <c r="EJ9" s="12">
        <f>IF('Données projet'!$A$192&gt;35,EJ8+EI9-ER8,IF(A9&lt;'Données projet'!$A$192,$EG$205^A9,IF(A9='Données projet'!$A$192,'Données projet'!$B$192,EJ8+EI9-ER8)))</f>
        <v>2.8284271247461894</v>
      </c>
      <c r="EK9" s="17">
        <f>EJ9*VLOOKUP('Données projet'!$B$15,Paramètres!$A$1:$I$89,3,0)*VLOOKUP('Données projet'!$B$15,Paramètres!$A$1:$I$89,5,0)</f>
        <v>2.4267904730322307</v>
      </c>
      <c r="EL9" s="13">
        <f t="shared" si="45"/>
        <v>1.0087106093953995</v>
      </c>
      <c r="EM9" s="20">
        <f t="shared" si="19"/>
        <v>5.9834977185614555</v>
      </c>
      <c r="EN9" s="57">
        <f t="shared" si="20"/>
        <v>269.98349771856147</v>
      </c>
      <c r="EO9" s="57">
        <f ca="1">AVERAGE(OFFSET($EN$3,0,0,'Données projet'!$E$15+1,1))-AVERAGE(OFFSET($H$3,0,0,'Données projet'!$E$15+1,1))</f>
        <v>447.10969593632467</v>
      </c>
      <c r="EP9" s="57">
        <f t="shared" si="46"/>
        <v>256.77417912163997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7" t="e">
        <f t="shared" si="23"/>
        <v>#N/A</v>
      </c>
      <c r="FJ9" s="57" t="e">
        <f ca="1">AVERAGE(OFFSET($FI$3,0,0,'Données projet'!$E$16+1,1))-AVERAGE(OFFSET($H$3,0,0,'Données projet'!$E$16+1,1))</f>
        <v>#N/A</v>
      </c>
      <c r="FK9" s="57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7" t="e">
        <f t="shared" si="26"/>
        <v>#N/A</v>
      </c>
      <c r="GE9" s="57" t="e">
        <f ca="1">AVERAGE(OFFSET($GD$3,0,0,'Données projet'!$E$17+1,1))-AVERAGE(OFFSET($H$3,0,0,'Données projet'!$E$17+1,1))</f>
        <v>#N/A</v>
      </c>
      <c r="GF9" s="57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7" t="e">
        <f t="shared" si="29"/>
        <v>#N/A</v>
      </c>
      <c r="GZ9" s="57" t="e">
        <f ca="1">AVERAGE(OFFSET($GY$3,0,0,'Données projet'!$E$18+1,1))-AVERAGE(OFFSET($H$3,0,0,'Données projet'!$E$18+1,1))</f>
        <v>#N/A</v>
      </c>
      <c r="HA9" s="57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0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4">
        <f t="shared" si="1"/>
        <v>256.66666666666669</v>
      </c>
      <c r="I10" s="6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7">
        <f t="shared" si="0"/>
        <v>274.08229683859719</v>
      </c>
      <c r="S10" s="57">
        <f ca="1">AVERAGE(OFFSET($R$3,0,0,'Données projet'!$E$9+1,1))-AVERAGE(OFFSET($H$3,0,0,'Données projet'!$E$9+1,1))</f>
        <v>443.34220761968419</v>
      </c>
      <c r="T10" s="57">
        <f t="shared" si="34"/>
        <v>546.58234447298014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6.4</v>
      </c>
      <c r="AI10" s="13">
        <f>IF('Données projet'!$A$62&gt;35,AI9+AH10-AQ9,IF(A10&lt;'Données projet'!$A$62,$AF$205^A10,IF(A10='Données projet'!$A$62,'Données projet'!$B$62,AI9+AH10-AQ9)))</f>
        <v>8.4151121590277373</v>
      </c>
      <c r="AJ10" s="13">
        <f>AI10*VLOOKUP('Données projet'!$B$10,Paramètres!$A$1:$I$89,3,0)*VLOOKUP('Données projet'!$B$10,Paramètres!$A$1:$I$89,5,0)</f>
        <v>3.9382724904249811</v>
      </c>
      <c r="AK10" s="13">
        <f t="shared" si="35"/>
        <v>1.5472633410422019</v>
      </c>
      <c r="AL10" s="20">
        <f t="shared" si="4"/>
        <v>9.5539749064720088</v>
      </c>
      <c r="AM10" s="57">
        <f t="shared" si="5"/>
        <v>274.77619712869426</v>
      </c>
      <c r="AN10" s="57">
        <f ca="1">AVERAGE(OFFSET($AM$3,0,0,'Données projet'!$E$10+1,1))-AVERAGE(OFFSET($H$3,0,0,'Données projet'!$E$10+1,1))</f>
        <v>524.3999528951972</v>
      </c>
      <c r="AO10" s="57">
        <f t="shared" si="36"/>
        <v>459.3547783500515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3.7333333333333334</v>
      </c>
      <c r="BD10" s="12">
        <f>IF('Données projet'!$A$88&gt;35,BD9+BC10-BL9,IF(A10&lt;'Données projet'!$A$88,$BA$205^A10,IF(A10='Données projet'!$A$88,'Données projet'!$B$88,BD9+BC10-BL9)))</f>
        <v>6.5436653246825864</v>
      </c>
      <c r="BE10" s="13">
        <f>BD10*VLOOKUP('Données projet'!$B$11,Paramètres!$A$1:$I$89,3,0)*VLOOKUP('Données projet'!$B$11,Paramètres!$A$1:$I$89,5,0)</f>
        <v>3.1475030211723238</v>
      </c>
      <c r="BF10" s="13">
        <f t="shared" si="37"/>
        <v>1.2692727608356806</v>
      </c>
      <c r="BG10" s="20">
        <f t="shared" si="7"/>
        <v>7.692551153663941</v>
      </c>
      <c r="BH10" s="57">
        <f t="shared" si="8"/>
        <v>272.91477337588617</v>
      </c>
      <c r="BI10" s="57">
        <f ca="1">AVERAGE(OFFSET($BH$3,0,0,'Données projet'!$E$11+1,1))-AVERAGE(OFFSET($H$3,0,0,'Données projet'!$E$11+1,1))</f>
        <v>495.6473104257044</v>
      </c>
      <c r="BJ10" s="57">
        <f t="shared" si="38"/>
        <v>430.92527296485201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7.5454545454545459</v>
      </c>
      <c r="BY10" s="12">
        <f>IF('Données projet'!$A$114&gt;35,BY9+BX10-CG9,IF(A10&lt;'Données projet'!$A$114,$BV$205^A10,IF(A10='Données projet'!$A$114,'Données projet'!$B$114,BY9+BX10-CG9)))</f>
        <v>16.642996173511026</v>
      </c>
      <c r="BZ10" s="13">
        <f>BY10*VLOOKUP('Données projet'!$B$12,Paramètres!$A$1:$I$89,3,0)*VLOOKUP('Données projet'!$B$12,Paramètres!$A$1:$I$89,5,0)</f>
        <v>9.9525117117595947</v>
      </c>
      <c r="CA10" s="13">
        <f t="shared" si="39"/>
        <v>3.5101477414317164</v>
      </c>
      <c r="CB10" s="20">
        <f t="shared" si="10"/>
        <v>23.447465214308199</v>
      </c>
      <c r="CC10" s="57">
        <f t="shared" si="11"/>
        <v>288.66968743653041</v>
      </c>
      <c r="CD10" s="57">
        <f ca="1">AVERAGE(OFFSET($CC$3,0,0,'Données projet'!$E$12+1,1))-AVERAGE(OFFSET($H$3,0,0,'Données projet'!$E$12+1,1))</f>
        <v>187.80389738728508</v>
      </c>
      <c r="CE10" s="57">
        <f t="shared" si="40"/>
        <v>439.28159165815265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2.1</v>
      </c>
      <c r="CT10" s="12">
        <f>IF('Données projet'!$A$140&gt;35,CT9+CS10-DB9,IF(A10&lt;'Données projet'!$A$140,$CQ$205^A10,IF(A10='Données projet'!$A$140,'Données projet'!$B$140,CT9+CS10-DB9)))</f>
        <v>3.6994507637402658</v>
      </c>
      <c r="CU10" s="17">
        <f>CT10*VLOOKUP('Données projet'!$B$13,Paramètres!$A$1:$I$89,3,0)*VLOOKUP('Données projet'!$B$13,Paramètres!$A$1:$I$89,5,0)</f>
        <v>3.3472630510321921</v>
      </c>
      <c r="CV10" s="13">
        <f t="shared" si="41"/>
        <v>1.34019505338418</v>
      </c>
      <c r="CW10" s="20">
        <f t="shared" si="13"/>
        <v>8.1639895318585136</v>
      </c>
      <c r="CX10" s="57">
        <f t="shared" si="14"/>
        <v>273.38621175408076</v>
      </c>
      <c r="CY10" s="57">
        <f ca="1">AVERAGE(OFFSET($CX$3,0,0,'Données projet'!$E$13+1,1))-AVERAGE(OFFSET($H$3,0,0,'Données projet'!$E$13+1,1))</f>
        <v>364.3481978218424</v>
      </c>
      <c r="CZ10" s="57">
        <f t="shared" si="42"/>
        <v>231.36959598460686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11.5</v>
      </c>
      <c r="DO10" s="12">
        <f>IF('Données projet'!$A$166&gt;35,DO9+DN10-DW9,IF(A10&lt;'Données projet'!$A$166,$DL$205^A10,IF(A10='Données projet'!$A$166,'Données projet'!$B$166,DO9+DN10-DW9)))</f>
        <v>27.700556129091794</v>
      </c>
      <c r="DP10" s="17">
        <f>DO10*VLOOKUP('Données projet'!$B$14,Paramètres!$A$1:$I$89,3,0)*VLOOKUP('Données projet'!$B$14,Paramètres!$A$1:$I$89,5,0)</f>
        <v>20.310047753850103</v>
      </c>
      <c r="DQ10" s="13">
        <f t="shared" si="43"/>
        <v>6.5924289133797958</v>
      </c>
      <c r="DR10" s="20">
        <f t="shared" si="16"/>
        <v>46.855146862092077</v>
      </c>
      <c r="DS10" s="57">
        <f t="shared" si="17"/>
        <v>312.07736908431428</v>
      </c>
      <c r="DT10" s="57">
        <f ca="1">AVERAGE(OFFSET($DS$3,0,0,'Données projet'!$E$14+1,1))-AVERAGE(OFFSET($H$3,0,0,'Données projet'!$E$14+1,1))</f>
        <v>239.25212250019609</v>
      </c>
      <c r="DU10" s="57">
        <f t="shared" si="44"/>
        <v>213.58492101729695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1.6</v>
      </c>
      <c r="EJ10" s="12">
        <f>IF('Données projet'!$A$192&gt;35,EJ9+EI10-ER9,IF(A10&lt;'Données projet'!$A$192,$EG$205^A10,IF(A10='Données projet'!$A$192,'Données projet'!$B$192,EJ9+EI10-ER9)))</f>
        <v>3.3635856610148567</v>
      </c>
      <c r="EK10" s="17">
        <f>EJ10*VLOOKUP('Données projet'!$B$15,Paramètres!$A$1:$I$89,3,0)*VLOOKUP('Données projet'!$B$15,Paramètres!$A$1:$I$89,5,0)</f>
        <v>2.8859564971507474</v>
      </c>
      <c r="EL10" s="13">
        <f t="shared" si="45"/>
        <v>1.1756122821876749</v>
      </c>
      <c r="EM10" s="20">
        <f t="shared" si="19"/>
        <v>7.073898957347752</v>
      </c>
      <c r="EN10" s="57">
        <f t="shared" si="20"/>
        <v>272.29612117956998</v>
      </c>
      <c r="EO10" s="57">
        <f ca="1">AVERAGE(OFFSET($EN$3,0,0,'Données projet'!$E$15+1,1))-AVERAGE(OFFSET($H$3,0,0,'Données projet'!$E$15+1,1))</f>
        <v>447.10969593632467</v>
      </c>
      <c r="EP10" s="57">
        <f t="shared" si="46"/>
        <v>256.77417912163997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7" t="e">
        <f t="shared" si="23"/>
        <v>#N/A</v>
      </c>
      <c r="FJ10" s="57" t="e">
        <f ca="1">AVERAGE(OFFSET($FI$3,0,0,'Données projet'!$E$16+1,1))-AVERAGE(OFFSET($H$3,0,0,'Données projet'!$E$16+1,1))</f>
        <v>#N/A</v>
      </c>
      <c r="FK10" s="57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7" t="e">
        <f t="shared" si="26"/>
        <v>#N/A</v>
      </c>
      <c r="GE10" s="57" t="e">
        <f ca="1">AVERAGE(OFFSET($GD$3,0,0,'Données projet'!$E$17+1,1))-AVERAGE(OFFSET($H$3,0,0,'Données projet'!$E$17+1,1))</f>
        <v>#N/A</v>
      </c>
      <c r="GF10" s="57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7" t="e">
        <f t="shared" si="29"/>
        <v>#N/A</v>
      </c>
      <c r="GZ10" s="57" t="e">
        <f ca="1">AVERAGE(OFFSET($GY$3,0,0,'Données projet'!$E$18+1,1))-AVERAGE(OFFSET($H$3,0,0,'Données projet'!$E$18+1,1))</f>
        <v>#N/A</v>
      </c>
      <c r="HA10" s="57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0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4">
        <f t="shared" si="1"/>
        <v>256.66666666666669</v>
      </c>
      <c r="I11" s="6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7">
        <f t="shared" si="0"/>
        <v>277.9240604336527</v>
      </c>
      <c r="S11" s="57">
        <f ca="1">AVERAGE(OFFSET($R$3,0,0,'Données projet'!$E$9+1,1))-AVERAGE(OFFSET($H$3,0,0,'Données projet'!$E$9+1,1))</f>
        <v>443.34220761968419</v>
      </c>
      <c r="T11" s="57">
        <f t="shared" si="34"/>
        <v>546.58234447298014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6.4</v>
      </c>
      <c r="AI11" s="13">
        <f>IF('Données projet'!$A$62&gt;35,AI10+AH11-AQ10,IF(A11&lt;'Données projet'!$A$62,$AF$205^A11,IF(A11='Données projet'!$A$62,'Données projet'!$B$62,AI10+AH11-AQ10)))</f>
        <v>11.408047591737819</v>
      </c>
      <c r="AJ11" s="13">
        <f>AI11*VLOOKUP('Données projet'!$B$10,Paramètres!$A$1:$I$89,3,0)*VLOOKUP('Données projet'!$B$10,Paramètres!$A$1:$I$89,5,0)</f>
        <v>5.3389662729332992</v>
      </c>
      <c r="AK11" s="13">
        <f t="shared" si="35"/>
        <v>2.0245720026174676</v>
      </c>
      <c r="AL11" s="20">
        <f t="shared" si="4"/>
        <v>12.824829163250916</v>
      </c>
      <c r="AM11" s="57">
        <f t="shared" si="5"/>
        <v>279.26927360769537</v>
      </c>
      <c r="AN11" s="57">
        <f ca="1">AVERAGE(OFFSET($AM$3,0,0,'Données projet'!$E$10+1,1))-AVERAGE(OFFSET($H$3,0,0,'Données projet'!$E$10+1,1))</f>
        <v>524.3999528951972</v>
      </c>
      <c r="AO11" s="57">
        <f t="shared" si="36"/>
        <v>459.3547783500515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3.7333333333333334</v>
      </c>
      <c r="BD11" s="12">
        <f>IF('Données projet'!$A$88&gt;35,BD10+BC11-BL10,IF(A11&lt;'Données projet'!$A$88,$BA$205^A11,IF(A11='Données projet'!$A$88,'Données projet'!$B$88,BD10+BC11-BL10)))</f>
        <v>8.5578948832803157</v>
      </c>
      <c r="BE11" s="13">
        <f>BD11*VLOOKUP('Données projet'!$B$11,Paramètres!$A$1:$I$89,3,0)*VLOOKUP('Données projet'!$B$11,Paramètres!$A$1:$I$89,5,0)</f>
        <v>4.1163474388578321</v>
      </c>
      <c r="BF11" s="13">
        <f t="shared" si="37"/>
        <v>1.6089216266250148</v>
      </c>
      <c r="BG11" s="20">
        <f t="shared" si="7"/>
        <v>9.9715102890492897</v>
      </c>
      <c r="BH11" s="57">
        <f t="shared" si="8"/>
        <v>276.41595473349372</v>
      </c>
      <c r="BI11" s="57">
        <f ca="1">AVERAGE(OFFSET($BH$3,0,0,'Données projet'!$E$11+1,1))-AVERAGE(OFFSET($H$3,0,0,'Données projet'!$E$11+1,1))</f>
        <v>495.6473104257044</v>
      </c>
      <c r="BJ11" s="57">
        <f t="shared" si="38"/>
        <v>430.92527296485201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7.5454545454545459</v>
      </c>
      <c r="BY11" s="12">
        <f>IF('Données projet'!$A$114&gt;35,BY10+BX11-CG10,IF(A11&lt;'Données projet'!$A$114,$BV$205^A11,IF(A11='Données projet'!$A$114,'Données projet'!$B$114,BY10+BX11-CG10)))</f>
        <v>24.870994879596463</v>
      </c>
      <c r="BZ11" s="13">
        <f>BY11*VLOOKUP('Données projet'!$B$12,Paramètres!$A$1:$I$89,3,0)*VLOOKUP('Données projet'!$B$12,Paramètres!$A$1:$I$89,5,0)</f>
        <v>14.872854937998687</v>
      </c>
      <c r="CA11" s="13">
        <f t="shared" si="39"/>
        <v>5.0058715967414829</v>
      </c>
      <c r="CB11" s="20">
        <f t="shared" si="10"/>
        <v>34.622115381339128</v>
      </c>
      <c r="CC11" s="57">
        <f t="shared" si="11"/>
        <v>301.0665598257836</v>
      </c>
      <c r="CD11" s="57">
        <f ca="1">AVERAGE(OFFSET($CC$3,0,0,'Données projet'!$E$12+1,1))-AVERAGE(OFFSET($H$3,0,0,'Données projet'!$E$12+1,1))</f>
        <v>187.80389738728508</v>
      </c>
      <c r="CE11" s="57">
        <f t="shared" si="40"/>
        <v>439.28159165815265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2.1</v>
      </c>
      <c r="CT11" s="12">
        <f>IF('Données projet'!$A$140&gt;35,CT10+CS11-DB10,IF(A11&lt;'Données projet'!$A$140,$CQ$205^A11,IF(A11='Données projet'!$A$140,'Données projet'!$B$140,CT10+CS11-DB10)))</f>
        <v>4.4596391171162209</v>
      </c>
      <c r="CU11" s="17">
        <f>CT11*VLOOKUP('Données projet'!$B$13,Paramètres!$A$1:$I$89,3,0)*VLOOKUP('Données projet'!$B$13,Paramètres!$A$1:$I$89,5,0)</f>
        <v>4.0350814731667564</v>
      </c>
      <c r="CV11" s="13">
        <f t="shared" si="41"/>
        <v>1.5808227025391921</v>
      </c>
      <c r="CW11" s="20">
        <f t="shared" si="13"/>
        <v>9.7810331060211926</v>
      </c>
      <c r="CX11" s="57">
        <f t="shared" si="14"/>
        <v>276.22547755046565</v>
      </c>
      <c r="CY11" s="57">
        <f ca="1">AVERAGE(OFFSET($CX$3,0,0,'Données projet'!$E$13+1,1))-AVERAGE(OFFSET($H$3,0,0,'Données projet'!$E$13+1,1))</f>
        <v>364.3481978218424</v>
      </c>
      <c r="CZ11" s="57">
        <f t="shared" si="42"/>
        <v>231.36959598460686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11.5</v>
      </c>
      <c r="DO11" s="12">
        <f>IF('Données projet'!$A$166&gt;35,DO10+DN11-DW10,IF(A11&lt;'Données projet'!$A$166,$DL$205^A11,IF(A11='Données projet'!$A$166,'Données projet'!$B$166,DO10+DN11-DW10)))</f>
        <v>44.520319489276915</v>
      </c>
      <c r="DP11" s="17">
        <f>DO11*VLOOKUP('Données projet'!$B$14,Paramètres!$A$1:$I$89,3,0)*VLOOKUP('Données projet'!$B$14,Paramètres!$A$1:$I$89,5,0)</f>
        <v>32.642298249537831</v>
      </c>
      <c r="DQ11" s="13">
        <f t="shared" si="43"/>
        <v>10.026023463420534</v>
      </c>
      <c r="DR11" s="20">
        <f t="shared" si="16"/>
        <v>74.31399365006915</v>
      </c>
      <c r="DS11" s="57">
        <f t="shared" si="17"/>
        <v>340.75843809451362</v>
      </c>
      <c r="DT11" s="57">
        <f ca="1">AVERAGE(OFFSET($DS$3,0,0,'Données projet'!$E$14+1,1))-AVERAGE(OFFSET($H$3,0,0,'Données projet'!$E$14+1,1))</f>
        <v>239.25212250019609</v>
      </c>
      <c r="DU11" s="57">
        <f t="shared" si="44"/>
        <v>213.58492101729695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1.6</v>
      </c>
      <c r="EJ11" s="12">
        <f>IF('Données projet'!$A$192&gt;35,EJ10+EI11-ER10,IF(A11&lt;'Données projet'!$A$192,$EG$205^A11,IF(A11='Données projet'!$A$192,'Données projet'!$B$192,EJ10+EI11-ER10)))</f>
        <v>3.9999999999999982</v>
      </c>
      <c r="EK11" s="17">
        <f>EJ11*VLOOKUP('Données projet'!$B$15,Paramètres!$A$1:$I$89,3,0)*VLOOKUP('Données projet'!$B$15,Paramètres!$A$1:$I$89,5,0)</f>
        <v>3.4319999999999991</v>
      </c>
      <c r="EL11" s="13">
        <f t="shared" si="45"/>
        <v>1.3701295744860806</v>
      </c>
      <c r="EM11" s="20">
        <f t="shared" si="19"/>
        <v>8.3637090088965884</v>
      </c>
      <c r="EN11" s="57">
        <f t="shared" si="20"/>
        <v>274.80815345334105</v>
      </c>
      <c r="EO11" s="57">
        <f ca="1">AVERAGE(OFFSET($EN$3,0,0,'Données projet'!$E$15+1,1))-AVERAGE(OFFSET($H$3,0,0,'Données projet'!$E$15+1,1))</f>
        <v>447.10969593632467</v>
      </c>
      <c r="EP11" s="57">
        <f t="shared" si="46"/>
        <v>256.77417912163997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7" t="e">
        <f t="shared" si="23"/>
        <v>#N/A</v>
      </c>
      <c r="FJ11" s="57" t="e">
        <f ca="1">AVERAGE(OFFSET($FI$3,0,0,'Données projet'!$E$16+1,1))-AVERAGE(OFFSET($H$3,0,0,'Données projet'!$E$16+1,1))</f>
        <v>#N/A</v>
      </c>
      <c r="FK11" s="57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7" t="e">
        <f t="shared" si="26"/>
        <v>#N/A</v>
      </c>
      <c r="GE11" s="57" t="e">
        <f ca="1">AVERAGE(OFFSET($GD$3,0,0,'Données projet'!$E$17+1,1))-AVERAGE(OFFSET($H$3,0,0,'Données projet'!$E$17+1,1))</f>
        <v>#N/A</v>
      </c>
      <c r="GF11" s="57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7" t="e">
        <f t="shared" si="29"/>
        <v>#N/A</v>
      </c>
      <c r="GZ11" s="57" t="e">
        <f ca="1">AVERAGE(OFFSET($GY$3,0,0,'Données projet'!$E$18+1,1))-AVERAGE(OFFSET($H$3,0,0,'Données projet'!$E$18+1,1))</f>
        <v>#N/A</v>
      </c>
      <c r="HA11" s="57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0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4">
        <f t="shared" si="1"/>
        <v>256.66666666666669</v>
      </c>
      <c r="I12" s="6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7">
        <f t="shared" si="0"/>
        <v>282.54320716865197</v>
      </c>
      <c r="S12" s="57">
        <f ca="1">AVERAGE(OFFSET($R$3,0,0,'Données projet'!$E$9+1,1))-AVERAGE(OFFSET($H$3,0,0,'Données projet'!$E$9+1,1))</f>
        <v>443.34220761968419</v>
      </c>
      <c r="T12" s="57">
        <f t="shared" si="34"/>
        <v>546.58234447298014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6.4</v>
      </c>
      <c r="AI12" s="13">
        <f>IF('Données projet'!$A$62&gt;35,AI11+AH12-AQ11,IF(A12&lt;'Données projet'!$A$62,$AF$205^A12,IF(A12='Données projet'!$A$62,'Données projet'!$B$62,AI11+AH12-AQ11)))</f>
        <v>15.465456359454103</v>
      </c>
      <c r="AJ12" s="13">
        <f>AI12*VLOOKUP('Données projet'!$B$10,Paramètres!$A$1:$I$89,3,0)*VLOOKUP('Données projet'!$B$10,Paramètres!$A$1:$I$89,5,0)</f>
        <v>7.2378335762245207</v>
      </c>
      <c r="AK12" s="13">
        <f t="shared" si="35"/>
        <v>2.6491235751902344</v>
      </c>
      <c r="AL12" s="20">
        <f t="shared" si="4"/>
        <v>17.219783705380699</v>
      </c>
      <c r="AM12" s="57">
        <f t="shared" si="5"/>
        <v>284.88645037204736</v>
      </c>
      <c r="AN12" s="57">
        <f ca="1">AVERAGE(OFFSET($AM$3,0,0,'Données projet'!$E$10+1,1))-AVERAGE(OFFSET($H$3,0,0,'Données projet'!$E$10+1,1))</f>
        <v>524.3999528951972</v>
      </c>
      <c r="AO12" s="57">
        <f t="shared" si="36"/>
        <v>459.3547783500515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3.7333333333333334</v>
      </c>
      <c r="BD12" s="12">
        <f>IF('Données projet'!$A$88&gt;35,BD11+BC12-BL11,IF(A12&lt;'Données projet'!$A$88,$BA$205^A12,IF(A12='Données projet'!$A$88,'Données projet'!$B$88,BD11+BC12-BL11)))</f>
        <v>11.192131809832121</v>
      </c>
      <c r="BE12" s="13">
        <f>BD12*VLOOKUP('Données projet'!$B$11,Paramètres!$A$1:$I$89,3,0)*VLOOKUP('Données projet'!$B$11,Paramètres!$A$1:$I$89,5,0)</f>
        <v>5.3834154005292509</v>
      </c>
      <c r="BF12" s="13">
        <f t="shared" si="37"/>
        <v>2.0394582476640779</v>
      </c>
      <c r="BG12" s="20">
        <f t="shared" si="7"/>
        <v>12.928171603936716</v>
      </c>
      <c r="BH12" s="57">
        <f t="shared" si="8"/>
        <v>280.59483827060342</v>
      </c>
      <c r="BI12" s="57">
        <f ca="1">AVERAGE(OFFSET($BH$3,0,0,'Données projet'!$E$11+1,1))-AVERAGE(OFFSET($H$3,0,0,'Données projet'!$E$11+1,1))</f>
        <v>495.6473104257044</v>
      </c>
      <c r="BJ12" s="57">
        <f t="shared" si="38"/>
        <v>430.92527296485201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7.5454545454545459</v>
      </c>
      <c r="BY12" s="12">
        <f>IF('Données projet'!$A$114&gt;35,BY11+BX12-CG11,IF(A12&lt;'Données projet'!$A$114,$BV$205^A12,IF(A12='Données projet'!$A$114,'Données projet'!$B$114,BY11+BX12-CG11)))</f>
        <v>37.166768522450475</v>
      </c>
      <c r="BZ12" s="13">
        <f>BY12*VLOOKUP('Données projet'!$B$12,Paramètres!$A$1:$I$89,3,0)*VLOOKUP('Données projet'!$B$12,Paramètres!$A$1:$I$89,5,0)</f>
        <v>22.225727576425388</v>
      </c>
      <c r="CA12" s="13">
        <f t="shared" si="39"/>
        <v>7.1389446510425687</v>
      </c>
      <c r="CB12" s="20">
        <f t="shared" si="10"/>
        <v>51.143470796173354</v>
      </c>
      <c r="CC12" s="57">
        <f t="shared" si="11"/>
        <v>318.81013746284003</v>
      </c>
      <c r="CD12" s="57">
        <f ca="1">AVERAGE(OFFSET($CC$3,0,0,'Données projet'!$E$12+1,1))-AVERAGE(OFFSET($H$3,0,0,'Données projet'!$E$12+1,1))</f>
        <v>187.80389738728508</v>
      </c>
      <c r="CE12" s="57">
        <f t="shared" si="40"/>
        <v>439.28159165815265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2.1</v>
      </c>
      <c r="CT12" s="12">
        <f>IF('Données projet'!$A$140&gt;35,CT11+CS12-DB11,IF(A12&lt;'Données projet'!$A$140,$CQ$205^A12,IF(A12='Données projet'!$A$140,'Données projet'!$B$140,CT11+CS12-DB11)))</f>
        <v>5.3760361537574148</v>
      </c>
      <c r="CU12" s="17">
        <f>CT12*VLOOKUP('Données projet'!$B$13,Paramètres!$A$1:$I$89,3,0)*VLOOKUP('Données projet'!$B$13,Paramètres!$A$1:$I$89,5,0)</f>
        <v>4.8642375119197085</v>
      </c>
      <c r="CV12" s="13">
        <f t="shared" si="41"/>
        <v>1.8646542609995393</v>
      </c>
      <c r="CW12" s="20">
        <f t="shared" si="13"/>
        <v>11.719486504501022</v>
      </c>
      <c r="CX12" s="57">
        <f t="shared" si="14"/>
        <v>279.38615317116773</v>
      </c>
      <c r="CY12" s="57">
        <f ca="1">AVERAGE(OFFSET($CX$3,0,0,'Données projet'!$E$13+1,1))-AVERAGE(OFFSET($H$3,0,0,'Données projet'!$E$13+1,1))</f>
        <v>364.3481978218424</v>
      </c>
      <c r="CZ12" s="57">
        <f t="shared" si="42"/>
        <v>231.36959598460686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11.5</v>
      </c>
      <c r="DO12" s="12">
        <f>IF('Données projet'!$A$166&gt;35,DO11+DN12-DW11,IF(A12&lt;'Données projet'!$A$166,$DL$205^A12,IF(A12='Données projet'!$A$166,'Données projet'!$B$166,DO11+DN12-DW11)))</f>
        <v>71.553034465820133</v>
      </c>
      <c r="DP12" s="17">
        <f>DO12*VLOOKUP('Données projet'!$B$14,Paramètres!$A$1:$I$89,3,0)*VLOOKUP('Données projet'!$B$14,Paramètres!$A$1:$I$89,5,0)</f>
        <v>52.462684870339316</v>
      </c>
      <c r="DQ12" s="13">
        <f t="shared" si="43"/>
        <v>15.247968208658939</v>
      </c>
      <c r="DR12" s="20">
        <f t="shared" si="16"/>
        <v>117.92938744592196</v>
      </c>
      <c r="DS12" s="57">
        <f t="shared" si="17"/>
        <v>385.59605411258866</v>
      </c>
      <c r="DT12" s="57">
        <f ca="1">AVERAGE(OFFSET($DS$3,0,0,'Données projet'!$E$14+1,1))-AVERAGE(OFFSET($H$3,0,0,'Données projet'!$E$14+1,1))</f>
        <v>239.25212250019609</v>
      </c>
      <c r="DU12" s="57">
        <f t="shared" si="44"/>
        <v>213.58492101729695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1.6</v>
      </c>
      <c r="EJ12" s="12">
        <f>IF('Données projet'!$A$192&gt;35,EJ11+EI12-ER11,IF(A12&lt;'Données projet'!$A$192,$EG$205^A12,IF(A12='Données projet'!$A$192,'Données projet'!$B$192,EJ11+EI12-ER11)))</f>
        <v>4.7568284600108823</v>
      </c>
      <c r="EK12" s="17">
        <f>EJ12*VLOOKUP('Données projet'!$B$15,Paramètres!$A$1:$I$89,3,0)*VLOOKUP('Données projet'!$B$15,Paramètres!$A$1:$I$89,5,0)</f>
        <v>4.0813588186893375</v>
      </c>
      <c r="EL12" s="13">
        <f t="shared" si="45"/>
        <v>1.5968317780655192</v>
      </c>
      <c r="EM12" s="20">
        <f t="shared" si="19"/>
        <v>9.8895152893480418</v>
      </c>
      <c r="EN12" s="57">
        <f t="shared" si="20"/>
        <v>277.55618195601471</v>
      </c>
      <c r="EO12" s="57">
        <f ca="1">AVERAGE(OFFSET($EN$3,0,0,'Données projet'!$E$15+1,1))-AVERAGE(OFFSET($H$3,0,0,'Données projet'!$E$15+1,1))</f>
        <v>447.10969593632467</v>
      </c>
      <c r="EP12" s="57">
        <f t="shared" si="46"/>
        <v>256.77417912163997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7" t="e">
        <f t="shared" si="23"/>
        <v>#N/A</v>
      </c>
      <c r="FJ12" s="57" t="e">
        <f ca="1">AVERAGE(OFFSET($FI$3,0,0,'Données projet'!$E$16+1,1))-AVERAGE(OFFSET($H$3,0,0,'Données projet'!$E$16+1,1))</f>
        <v>#N/A</v>
      </c>
      <c r="FK12" s="57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7" t="e">
        <f t="shared" si="26"/>
        <v>#N/A</v>
      </c>
      <c r="GE12" s="57" t="e">
        <f ca="1">AVERAGE(OFFSET($GD$3,0,0,'Données projet'!$E$17+1,1))-AVERAGE(OFFSET($H$3,0,0,'Données projet'!$E$17+1,1))</f>
        <v>#N/A</v>
      </c>
      <c r="GF12" s="57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7" t="e">
        <f t="shared" si="29"/>
        <v>#N/A</v>
      </c>
      <c r="GZ12" s="57" t="e">
        <f ca="1">AVERAGE(OFFSET($GY$3,0,0,'Données projet'!$E$18+1,1))-AVERAGE(OFFSET($H$3,0,0,'Données projet'!$E$18+1,1))</f>
        <v>#N/A</v>
      </c>
      <c r="HA12" s="57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0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4">
        <f t="shared" si="1"/>
        <v>256.66666666666669</v>
      </c>
      <c r="I13" s="6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7">
        <f t="shared" si="0"/>
        <v>288.17123899352742</v>
      </c>
      <c r="S13" s="57">
        <f ca="1">AVERAGE(OFFSET($R$3,0,0,'Données projet'!$E$9+1,1))-AVERAGE(OFFSET($H$3,0,0,'Données projet'!$E$9+1,1))</f>
        <v>443.34220761968419</v>
      </c>
      <c r="T13" s="57">
        <f t="shared" si="34"/>
        <v>546.58234447298014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6.4</v>
      </c>
      <c r="AI13" s="13">
        <f>IF('Données projet'!$A$62&gt;35,AI12+AH13-AQ12,IF(A13&lt;'Données projet'!$A$62,$AF$205^A13,IF(A13='Données projet'!$A$62,'Données projet'!$B$62,AI12+AH13-AQ12)))</f>
        <v>20.965931153671175</v>
      </c>
      <c r="AJ13" s="13">
        <f>AI13*VLOOKUP('Données projet'!$B$10,Paramètres!$A$1:$I$89,3,0)*VLOOKUP('Données projet'!$B$10,Paramètres!$A$1:$I$89,5,0)</f>
        <v>9.8120557799181096</v>
      </c>
      <c r="AK13" s="13">
        <f t="shared" si="35"/>
        <v>3.4663403956765451</v>
      </c>
      <c r="AL13" s="20">
        <f t="shared" si="4"/>
        <v>23.126540005827355</v>
      </c>
      <c r="AM13" s="57">
        <f t="shared" si="5"/>
        <v>292.01542889471619</v>
      </c>
      <c r="AN13" s="57">
        <f ca="1">AVERAGE(OFFSET($AM$3,0,0,'Données projet'!$E$10+1,1))-AVERAGE(OFFSET($H$3,0,0,'Données projet'!$E$10+1,1))</f>
        <v>524.3999528951972</v>
      </c>
      <c r="AO13" s="57">
        <f t="shared" si="36"/>
        <v>459.3547783500515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3.7333333333333334</v>
      </c>
      <c r="BD13" s="12">
        <f>IF('Données projet'!$A$88&gt;35,BD12+BC13-BL12,IF(A13&lt;'Données projet'!$A$88,$BA$205^A13,IF(A13='Données projet'!$A$88,'Données projet'!$B$88,BD12+BC13-BL12)))</f>
        <v>14.637222840091875</v>
      </c>
      <c r="BE13" s="13">
        <f>BD13*VLOOKUP('Données projet'!$B$11,Paramètres!$A$1:$I$89,3,0)*VLOOKUP('Données projet'!$B$11,Paramètres!$A$1:$I$89,5,0)</f>
        <v>7.0405041860841919</v>
      </c>
      <c r="BF13" s="13">
        <f t="shared" si="37"/>
        <v>2.5852035768144002</v>
      </c>
      <c r="BG13" s="20">
        <f t="shared" si="7"/>
        <v>16.764774353715051</v>
      </c>
      <c r="BH13" s="57">
        <f t="shared" si="8"/>
        <v>285.6536632426039</v>
      </c>
      <c r="BI13" s="57">
        <f ca="1">AVERAGE(OFFSET($BH$3,0,0,'Données projet'!$E$11+1,1))-AVERAGE(OFFSET($H$3,0,0,'Données projet'!$E$11+1,1))</f>
        <v>495.6473104257044</v>
      </c>
      <c r="BJ13" s="57">
        <f t="shared" si="38"/>
        <v>430.92527296485201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7.5454545454545459</v>
      </c>
      <c r="BY13" s="12">
        <f>IF('Données projet'!$A$114&gt;35,BY12+BX13-CG12,IF(A13&lt;'Données projet'!$A$114,$BV$205^A13,IF(A13='Données projet'!$A$114,'Données projet'!$B$114,BY12+BX13-CG12)))</f>
        <v>55.541352048391744</v>
      </c>
      <c r="BZ13" s="13">
        <f>BY13*VLOOKUP('Données projet'!$B$12,Paramètres!$A$1:$I$89,3,0)*VLOOKUP('Données projet'!$B$12,Paramètres!$A$1:$I$89,5,0)</f>
        <v>33.213728524938269</v>
      </c>
      <c r="CA13" s="13">
        <f t="shared" si="39"/>
        <v>10.180950459021789</v>
      </c>
      <c r="CB13" s="20">
        <f t="shared" si="10"/>
        <v>75.579065897063757</v>
      </c>
      <c r="CC13" s="57">
        <f t="shared" si="11"/>
        <v>344.4679547859526</v>
      </c>
      <c r="CD13" s="57">
        <f ca="1">AVERAGE(OFFSET($CC$3,0,0,'Données projet'!$E$12+1,1))-AVERAGE(OFFSET($H$3,0,0,'Données projet'!$E$12+1,1))</f>
        <v>187.80389738728508</v>
      </c>
      <c r="CE13" s="57">
        <f t="shared" si="40"/>
        <v>439.28159165815265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2.1</v>
      </c>
      <c r="CT13" s="12">
        <f>IF('Données projet'!$A$140&gt;35,CT12+CS13-DB12,IF(A13&lt;'Données projet'!$A$140,$CQ$205^A13,IF(A13='Données projet'!$A$140,'Données projet'!$B$140,CT12+CS13-DB12)))</f>
        <v>6.4807406984078657</v>
      </c>
      <c r="CU13" s="17">
        <f>CT13*VLOOKUP('Données projet'!$B$13,Paramètres!$A$1:$I$89,3,0)*VLOOKUP('Données projet'!$B$13,Paramètres!$A$1:$I$89,5,0)</f>
        <v>5.8637741839194364</v>
      </c>
      <c r="CV13" s="13">
        <f t="shared" si="41"/>
        <v>2.1994468497187687</v>
      </c>
      <c r="CW13" s="20">
        <f t="shared" si="13"/>
        <v>14.043443300253207</v>
      </c>
      <c r="CX13" s="57">
        <f t="shared" si="14"/>
        <v>282.93233218914207</v>
      </c>
      <c r="CY13" s="57">
        <f ca="1">AVERAGE(OFFSET($CX$3,0,0,'Données projet'!$E$13+1,1))-AVERAGE(OFFSET($H$3,0,0,'Données projet'!$E$13+1,1))</f>
        <v>364.3481978218424</v>
      </c>
      <c r="CZ13" s="57">
        <f t="shared" si="42"/>
        <v>231.36959598460686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115</v>
      </c>
      <c r="DM13" s="12">
        <f>VLOOKUP(A13,'Données projet'!$A$165:$I$185,9,0)</f>
        <v>11.5</v>
      </c>
      <c r="DN13" s="12">
        <f t="array" ref="DN13">INDEX(DM:DM,MIN(IF(ISNUMBER(DM13:DM209),ROW(DM13:DM209),"")))</f>
        <v>11.5</v>
      </c>
      <c r="DO13" s="12">
        <f>IF('Données projet'!$A$166&gt;35,DO12+DN13-DW12,IF(A13&lt;'Données projet'!$A$166,$DL$205^A13,IF(A13='Données projet'!$A$166,'Données projet'!$B$166,DO12+DN13-DW12)))</f>
        <v>115</v>
      </c>
      <c r="DP13" s="17">
        <f>DO13*VLOOKUP('Données projet'!$B$14,Paramètres!$A$1:$I$89,3,0)*VLOOKUP('Données projet'!$B$14,Paramètres!$A$1:$I$89,5,0)</f>
        <v>84.317999999999998</v>
      </c>
      <c r="DQ13" s="13">
        <f t="shared" si="43"/>
        <v>23.189705803157239</v>
      </c>
      <c r="DR13" s="20">
        <f t="shared" si="16"/>
        <v>187.24258760716552</v>
      </c>
      <c r="DS13" s="57">
        <f t="shared" si="17"/>
        <v>456.13147649605435</v>
      </c>
      <c r="DT13" s="57">
        <f ca="1">AVERAGE(OFFSET($DS$3,0,0,'Données projet'!$E$14+1,1))-AVERAGE(OFFSET($H$3,0,0,'Données projet'!$E$14+1,1))</f>
        <v>239.25212250019609</v>
      </c>
      <c r="DU13" s="57">
        <f t="shared" si="44"/>
        <v>213.58492101729695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1.6</v>
      </c>
      <c r="EJ13" s="12">
        <f>IF('Données projet'!$A$192&gt;35,EJ12+EI13-ER12,IF(A13&lt;'Données projet'!$A$192,$EG$205^A13,IF(A13='Données projet'!$A$192,'Données projet'!$B$192,EJ12+EI13-ER12)))</f>
        <v>5.656854249492377</v>
      </c>
      <c r="EK13" s="17">
        <f>EJ13*VLOOKUP('Données projet'!$B$15,Paramètres!$A$1:$I$89,3,0)*VLOOKUP('Données projet'!$B$15,Paramètres!$A$1:$I$89,5,0)</f>
        <v>4.8535809460644597</v>
      </c>
      <c r="EL13" s="13">
        <f t="shared" si="45"/>
        <v>1.8610442215994896</v>
      </c>
      <c r="EM13" s="20">
        <f t="shared" si="19"/>
        <v>11.694638833681379</v>
      </c>
      <c r="EN13" s="57">
        <f t="shared" si="20"/>
        <v>280.58352772257024</v>
      </c>
      <c r="EO13" s="57">
        <f ca="1">AVERAGE(OFFSET($EN$3,0,0,'Données projet'!$E$15+1,1))-AVERAGE(OFFSET($H$3,0,0,'Données projet'!$E$15+1,1))</f>
        <v>447.10969593632467</v>
      </c>
      <c r="EP13" s="57">
        <f t="shared" si="46"/>
        <v>256.77417912163997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7" t="e">
        <f t="shared" si="23"/>
        <v>#N/A</v>
      </c>
      <c r="FJ13" s="57" t="e">
        <f ca="1">AVERAGE(OFFSET($FI$3,0,0,'Données projet'!$E$16+1,1))-AVERAGE(OFFSET($H$3,0,0,'Données projet'!$E$16+1,1))</f>
        <v>#N/A</v>
      </c>
      <c r="FK13" s="57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7" t="e">
        <f t="shared" si="26"/>
        <v>#N/A</v>
      </c>
      <c r="GE13" s="57" t="e">
        <f ca="1">AVERAGE(OFFSET($GD$3,0,0,'Données projet'!$E$17+1,1))-AVERAGE(OFFSET($H$3,0,0,'Données projet'!$E$17+1,1))</f>
        <v>#N/A</v>
      </c>
      <c r="GF13" s="57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7" t="e">
        <f t="shared" si="29"/>
        <v>#N/A</v>
      </c>
      <c r="GZ13" s="57" t="e">
        <f ca="1">AVERAGE(OFFSET($GY$3,0,0,'Données projet'!$E$18+1,1))-AVERAGE(OFFSET($H$3,0,0,'Données projet'!$E$18+1,1))</f>
        <v>#N/A</v>
      </c>
      <c r="HA13" s="57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0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4">
        <f t="shared" si="1"/>
        <v>256.66666666666669</v>
      </c>
      <c r="I14" s="6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7">
        <f t="shared" si="0"/>
        <v>295.10882018897831</v>
      </c>
      <c r="S14" s="57">
        <f ca="1">AVERAGE(OFFSET($R$3,0,0,'Données projet'!$E$9+1,1))-AVERAGE(OFFSET($H$3,0,0,'Données projet'!$E$9+1,1))</f>
        <v>443.34220761968419</v>
      </c>
      <c r="T14" s="57">
        <f t="shared" si="34"/>
        <v>546.58234447298014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6.4</v>
      </c>
      <c r="AI14" s="13">
        <f>IF('Données projet'!$A$62&gt;35,AI13+AH14-AQ13,IF(A14&lt;'Données projet'!$A$62,$AF$205^A14,IF(A14='Données projet'!$A$62,'Données projet'!$B$62,AI13+AH14-AQ13)))</f>
        <v>28.422715691268188</v>
      </c>
      <c r="AJ14" s="13">
        <f>AI14*VLOOKUP('Données projet'!$B$10,Paramètres!$A$1:$I$89,3,0)*VLOOKUP('Données projet'!$B$10,Paramètres!$A$1:$I$89,5,0)</f>
        <v>13.301830943513512</v>
      </c>
      <c r="AK14" s="13">
        <f t="shared" si="35"/>
        <v>4.5356569437634455</v>
      </c>
      <c r="AL14" s="20">
        <f t="shared" si="4"/>
        <v>31.0669580703407</v>
      </c>
      <c r="AM14" s="57">
        <f t="shared" si="5"/>
        <v>301.17806918145186</v>
      </c>
      <c r="AN14" s="57">
        <f ca="1">AVERAGE(OFFSET($AM$3,0,0,'Données projet'!$E$10+1,1))-AVERAGE(OFFSET($H$3,0,0,'Données projet'!$E$10+1,1))</f>
        <v>524.3999528951972</v>
      </c>
      <c r="AO14" s="57">
        <f t="shared" si="36"/>
        <v>459.3547783500515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3.7333333333333334</v>
      </c>
      <c r="BD14" s="12">
        <f>IF('Données projet'!$A$88&gt;35,BD13+BC14-BL13,IF(A14&lt;'Données projet'!$A$88,$BA$205^A14,IF(A14='Données projet'!$A$88,'Données projet'!$B$88,BD13+BC14-BL13)))</f>
        <v>19.142759941613029</v>
      </c>
      <c r="BE14" s="13">
        <f>BD14*VLOOKUP('Données projet'!$B$11,Paramètres!$A$1:$I$89,3,0)*VLOOKUP('Données projet'!$B$11,Paramètres!$A$1:$I$89,5,0)</f>
        <v>9.2076675319158667</v>
      </c>
      <c r="BF14" s="13">
        <f t="shared" si="37"/>
        <v>3.2769866905727323</v>
      </c>
      <c r="BG14" s="20">
        <f t="shared" si="7"/>
        <v>21.744106104167642</v>
      </c>
      <c r="BH14" s="57">
        <f t="shared" si="8"/>
        <v>291.8552172152788</v>
      </c>
      <c r="BI14" s="57">
        <f ca="1">AVERAGE(OFFSET($BH$3,0,0,'Données projet'!$E$11+1,1))-AVERAGE(OFFSET($H$3,0,0,'Données projet'!$E$11+1,1))</f>
        <v>495.6473104257044</v>
      </c>
      <c r="BJ14" s="57">
        <f t="shared" si="38"/>
        <v>430.92527296485201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>
        <f>VLOOKUP(A14,'Données projet'!$A$113:$I$133,2,0)</f>
        <v>83</v>
      </c>
      <c r="BW14" s="12">
        <f>VLOOKUP(A14,'Données projet'!$A$113:$I$133,9,0)</f>
        <v>7.5454545454545459</v>
      </c>
      <c r="BX14" s="12">
        <f t="array" ref="BX14">INDEX(BW:BW,MIN(IF(ISNUMBER(BW14:BW210),ROW(BW14:BW210),"")))</f>
        <v>7.5454545454545459</v>
      </c>
      <c r="BY14" s="12">
        <f>IF('Données projet'!$A$114&gt;35,BY13+BX14-CG13,IF(A14&lt;'Données projet'!$A$114,$BV$205^A14,IF(A14='Données projet'!$A$114,'Données projet'!$B$114,BY13+BX14-CG13)))</f>
        <v>83</v>
      </c>
      <c r="BZ14" s="13">
        <f>BY14*VLOOKUP('Données projet'!$B$12,Paramètres!$A$1:$I$89,3,0)*VLOOKUP('Données projet'!$B$12,Paramètres!$A$1:$I$89,5,0)</f>
        <v>49.634</v>
      </c>
      <c r="CA14" s="13">
        <f t="shared" si="39"/>
        <v>14.519198189037462</v>
      </c>
      <c r="CB14" s="20">
        <f t="shared" si="10"/>
        <v>111.73348684590691</v>
      </c>
      <c r="CC14" s="57">
        <f t="shared" si="11"/>
        <v>381.84459795701804</v>
      </c>
      <c r="CD14" s="57">
        <f ca="1">AVERAGE(OFFSET($CC$3,0,0,'Données projet'!$E$12+1,1))-AVERAGE(OFFSET($H$3,0,0,'Données projet'!$E$12+1,1))</f>
        <v>187.80389738728508</v>
      </c>
      <c r="CE14" s="57">
        <f t="shared" si="40"/>
        <v>439.28159165815265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2.1</v>
      </c>
      <c r="CT14" s="12">
        <f>IF('Données projet'!$A$140&gt;35,CT13+CS14-DB13,IF(A14&lt;'Données projet'!$A$140,$CQ$205^A14,IF(A14='Données projet'!$A$140,'Données projet'!$B$140,CT13+CS14-DB13)))</f>
        <v>7.8124474610620815</v>
      </c>
      <c r="CU14" s="17">
        <f>CT14*VLOOKUP('Données projet'!$B$13,Paramètres!$A$1:$I$89,3,0)*VLOOKUP('Données projet'!$B$13,Paramètres!$A$1:$I$89,5,0)</f>
        <v>7.0687024627689707</v>
      </c>
      <c r="CV14" s="13">
        <f t="shared" si="41"/>
        <v>2.5943503554083325</v>
      </c>
      <c r="CW14" s="20">
        <f t="shared" si="13"/>
        <v>16.829816991658799</v>
      </c>
      <c r="CX14" s="57">
        <f t="shared" si="14"/>
        <v>286.94092810276993</v>
      </c>
      <c r="CY14" s="57">
        <f ca="1">AVERAGE(OFFSET($CX$3,0,0,'Données projet'!$E$13+1,1))-AVERAGE(OFFSET($H$3,0,0,'Données projet'!$E$13+1,1))</f>
        <v>364.3481978218424</v>
      </c>
      <c r="CZ14" s="57">
        <f t="shared" si="42"/>
        <v>231.36959598460686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13.8</v>
      </c>
      <c r="DO14" s="12">
        <f>IF('Données projet'!$A$166&gt;35,DO13+DN14-DW13,IF(A14&lt;'Données projet'!$A$166,$DL$205^A14,IF(A14='Données projet'!$A$166,'Données projet'!$B$166,DO13+DN14-DW13)))</f>
        <v>128.80000000000001</v>
      </c>
      <c r="DP14" s="17">
        <f>DO14*VLOOKUP('Données projet'!$B$14,Paramètres!$A$1:$I$89,3,0)*VLOOKUP('Données projet'!$B$14,Paramètres!$A$1:$I$89,5,0)</f>
        <v>94.436160000000001</v>
      </c>
      <c r="DQ14" s="13">
        <f t="shared" si="43"/>
        <v>25.632105611020013</v>
      </c>
      <c r="DR14" s="20">
        <f t="shared" si="16"/>
        <v>209.11889593919318</v>
      </c>
      <c r="DS14" s="57">
        <f t="shared" si="17"/>
        <v>479.23000705030432</v>
      </c>
      <c r="DT14" s="57">
        <f ca="1">AVERAGE(OFFSET($DS$3,0,0,'Données projet'!$E$14+1,1))-AVERAGE(OFFSET($H$3,0,0,'Données projet'!$E$14+1,1))</f>
        <v>239.25212250019609</v>
      </c>
      <c r="DU14" s="57">
        <f t="shared" si="44"/>
        <v>213.58492101729695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1.6</v>
      </c>
      <c r="EJ14" s="12">
        <f>IF('Données projet'!$A$192&gt;35,EJ13+EI14-ER13,IF(A14&lt;'Données projet'!$A$192,$EG$205^A14,IF(A14='Données projet'!$A$192,'Données projet'!$B$192,EJ13+EI14-ER13)))</f>
        <v>6.7271713220297125</v>
      </c>
      <c r="EK14" s="17">
        <f>EJ14*VLOOKUP('Données projet'!$B$15,Paramètres!$A$1:$I$89,3,0)*VLOOKUP('Données projet'!$B$15,Paramètres!$A$1:$I$89,5,0)</f>
        <v>5.771912994301494</v>
      </c>
      <c r="EL14" s="13">
        <f t="shared" si="45"/>
        <v>2.1689733648366443</v>
      </c>
      <c r="EM14" s="20">
        <f t="shared" si="19"/>
        <v>13.830377075498925</v>
      </c>
      <c r="EN14" s="57">
        <f t="shared" si="20"/>
        <v>283.94148818661006</v>
      </c>
      <c r="EO14" s="57">
        <f ca="1">AVERAGE(OFFSET($EN$3,0,0,'Données projet'!$E$15+1,1))-AVERAGE(OFFSET($H$3,0,0,'Données projet'!$E$15+1,1))</f>
        <v>447.10969593632467</v>
      </c>
      <c r="EP14" s="57">
        <f t="shared" si="46"/>
        <v>256.77417912163997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7" t="e">
        <f t="shared" si="23"/>
        <v>#N/A</v>
      </c>
      <c r="FJ14" s="57" t="e">
        <f ca="1">AVERAGE(OFFSET($FI$3,0,0,'Données projet'!$E$16+1,1))-AVERAGE(OFFSET($H$3,0,0,'Données projet'!$E$16+1,1))</f>
        <v>#N/A</v>
      </c>
      <c r="FK14" s="57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7" t="e">
        <f t="shared" si="26"/>
        <v>#N/A</v>
      </c>
      <c r="GE14" s="57" t="e">
        <f ca="1">AVERAGE(OFFSET($GD$3,0,0,'Données projet'!$E$17+1,1))-AVERAGE(OFFSET($H$3,0,0,'Données projet'!$E$17+1,1))</f>
        <v>#N/A</v>
      </c>
      <c r="GF14" s="57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7" t="e">
        <f t="shared" si="29"/>
        <v>#N/A</v>
      </c>
      <c r="GZ14" s="57" t="e">
        <f ca="1">AVERAGE(OFFSET($GY$3,0,0,'Données projet'!$E$18+1,1))-AVERAGE(OFFSET($H$3,0,0,'Données projet'!$E$18+1,1))</f>
        <v>#N/A</v>
      </c>
      <c r="HA14" s="57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0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4">
        <f t="shared" si="1"/>
        <v>256.66666666666669</v>
      </c>
      <c r="I15" s="6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7">
        <f t="shared" si="0"/>
        <v>303.74650101186751</v>
      </c>
      <c r="S15" s="57">
        <f ca="1">AVERAGE(OFFSET($R$3,0,0,'Données projet'!$E$9+1,1))-AVERAGE(OFFSET($H$3,0,0,'Données projet'!$E$9+1,1))</f>
        <v>443.34220761968419</v>
      </c>
      <c r="T15" s="57">
        <f t="shared" si="34"/>
        <v>546.58234447298014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6.4</v>
      </c>
      <c r="AI15" s="13">
        <f>IF('Données projet'!$A$62&gt;35,AI14+AH15-AQ14,IF(A15&lt;'Données projet'!$A$62,$AF$205^A15,IF(A15='Données projet'!$A$62,'Données projet'!$B$62,AI14+AH15-AQ14)))</f>
        <v>38.531594964491077</v>
      </c>
      <c r="AJ15" s="13">
        <f>AI15*VLOOKUP('Données projet'!$B$10,Paramètres!$A$1:$I$89,3,0)*VLOOKUP('Données projet'!$B$10,Paramètres!$A$1:$I$89,5,0)</f>
        <v>18.032786443381823</v>
      </c>
      <c r="AK15" s="13">
        <f t="shared" si="35"/>
        <v>5.9348423880033758</v>
      </c>
      <c r="AL15" s="20">
        <f t="shared" si="4"/>
        <v>41.743620214662549</v>
      </c>
      <c r="AM15" s="57">
        <f t="shared" si="5"/>
        <v>313.07695354799586</v>
      </c>
      <c r="AN15" s="57">
        <f ca="1">AVERAGE(OFFSET($AM$3,0,0,'Données projet'!$E$10+1,1))-AVERAGE(OFFSET($H$3,0,0,'Données projet'!$E$10+1,1))</f>
        <v>524.3999528951972</v>
      </c>
      <c r="AO15" s="57">
        <f t="shared" si="36"/>
        <v>459.3547783500515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3.7333333333333334</v>
      </c>
      <c r="BD15" s="12">
        <f>IF('Données projet'!$A$88&gt;35,BD14+BC15-BL14,IF(A15&lt;'Données projet'!$A$88,$BA$205^A15,IF(A15='Données projet'!$A$88,'Données projet'!$B$88,BD14+BC15-BL14)))</f>
        <v>25.035162898423447</v>
      </c>
      <c r="BE15" s="13">
        <f>BD15*VLOOKUP('Données projet'!$B$11,Paramètres!$A$1:$I$89,3,0)*VLOOKUP('Données projet'!$B$11,Paramètres!$A$1:$I$89,5,0)</f>
        <v>12.041913354141679</v>
      </c>
      <c r="BF15" s="13">
        <f t="shared" si="37"/>
        <v>4.1538863192443207</v>
      </c>
      <c r="BG15" s="20">
        <f t="shared" si="7"/>
        <v>28.207684431147282</v>
      </c>
      <c r="BH15" s="57">
        <f t="shared" si="8"/>
        <v>299.54101776448061</v>
      </c>
      <c r="BI15" s="57">
        <f ca="1">AVERAGE(OFFSET($BH$3,0,0,'Données projet'!$E$11+1,1))-AVERAGE(OFFSET($H$3,0,0,'Données projet'!$E$11+1,1))</f>
        <v>495.6473104257044</v>
      </c>
      <c r="BJ15" s="57">
        <f t="shared" si="38"/>
        <v>430.92527296485201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>
        <f>VLOOKUP(A15,'Données projet'!$A$113:$I$133,2,0)</f>
        <v>106</v>
      </c>
      <c r="BW15" s="12">
        <f>VLOOKUP(A15,'Données projet'!$A$113:$I$133,9,0)</f>
        <v>23</v>
      </c>
      <c r="BX15" s="12">
        <f t="array" ref="BX15">INDEX(BW:BW,MIN(IF(ISNUMBER(BW15:BW211),ROW(BW15:BW211),"")))</f>
        <v>23</v>
      </c>
      <c r="BY15" s="12">
        <f>IF('Données projet'!$A$114&gt;35,BY14+BX15-CG14,IF(A15&lt;'Données projet'!$A$114,$BV$205^A15,IF(A15='Données projet'!$A$114,'Données projet'!$B$114,BY14+BX15-CG14)))</f>
        <v>106</v>
      </c>
      <c r="BZ15" s="13">
        <f>BY15*VLOOKUP('Données projet'!$B$12,Paramètres!$A$1:$I$89,3,0)*VLOOKUP('Données projet'!$B$12,Paramètres!$A$1:$I$89,5,0)</f>
        <v>63.388000000000012</v>
      </c>
      <c r="CA15" s="13">
        <f t="shared" si="39"/>
        <v>18.022104085041263</v>
      </c>
      <c r="CB15" s="20">
        <f t="shared" si="10"/>
        <v>141.78926461478019</v>
      </c>
      <c r="CC15" s="57">
        <f t="shared" si="11"/>
        <v>413.12259794811348</v>
      </c>
      <c r="CD15" s="57">
        <f ca="1">AVERAGE(OFFSET($CC$3,0,0,'Données projet'!$E$12+1,1))-AVERAGE(OFFSET($H$3,0,0,'Données projet'!$E$12+1,1))</f>
        <v>187.80389738728508</v>
      </c>
      <c r="CE15" s="57">
        <f t="shared" si="40"/>
        <v>439.28159165815265</v>
      </c>
      <c r="CF15" s="15">
        <f>IF(ISNA(VLOOKUP(A15,'Données projet'!$A$113:$I$133,3,0)),0,VLOOKUP(A15,'Données projet'!$A$113:$I$133,3,0))</f>
        <v>1</v>
      </c>
      <c r="CG15" s="15">
        <f>IF(ISNA(VLOOKUP(A15,'Données projet'!$A$113:$I$133,4,0)),0,VLOOKUP(A15,'Données projet'!$A$113:$I$133,4,0))</f>
        <v>34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1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23.020547073308105</v>
      </c>
      <c r="CN15" s="22">
        <f t="shared" si="12"/>
        <v>23.020547073308105</v>
      </c>
      <c r="CO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2.1</v>
      </c>
      <c r="CT15" s="12">
        <f>IF('Données projet'!$A$140&gt;35,CT14+CS15-DB14,IF(A15&lt;'Données projet'!$A$140,$CQ$205^A15,IF(A15='Données projet'!$A$140,'Données projet'!$B$140,CT14+CS15-DB14)))</f>
        <v>9.4178024044149407</v>
      </c>
      <c r="CU15" s="17">
        <f>CT15*VLOOKUP('Données projet'!$B$13,Paramètres!$A$1:$I$89,3,0)*VLOOKUP('Données projet'!$B$13,Paramètres!$A$1:$I$89,5,0)</f>
        <v>8.521227615514638</v>
      </c>
      <c r="CV15" s="13">
        <f t="shared" si="41"/>
        <v>3.0601574970852128</v>
      </c>
      <c r="CW15" s="20">
        <f t="shared" si="13"/>
        <v>20.170912404444739</v>
      </c>
      <c r="CX15" s="57">
        <f t="shared" si="14"/>
        <v>291.50424573777804</v>
      </c>
      <c r="CY15" s="57">
        <f ca="1">AVERAGE(OFFSET($CX$3,0,0,'Données projet'!$E$13+1,1))-AVERAGE(OFFSET($H$3,0,0,'Données projet'!$E$13+1,1))</f>
        <v>364.3481978218424</v>
      </c>
      <c r="CZ15" s="57">
        <f t="shared" si="42"/>
        <v>231.36959598460686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13.8</v>
      </c>
      <c r="DO15" s="12">
        <f>IF('Données projet'!$A$166&gt;35,DO14+DN15-DW14,IF(A15&lt;'Données projet'!$A$166,$DL$205^A15,IF(A15='Données projet'!$A$166,'Données projet'!$B$166,DO14+DN15-DW14)))</f>
        <v>142.60000000000002</v>
      </c>
      <c r="DP15" s="17">
        <f>DO15*VLOOKUP('Données projet'!$B$14,Paramètres!$A$1:$I$89,3,0)*VLOOKUP('Données projet'!$B$14,Paramètres!$A$1:$I$89,5,0)</f>
        <v>104.55432000000002</v>
      </c>
      <c r="DQ15" s="13">
        <f t="shared" si="43"/>
        <v>28.044173158356262</v>
      </c>
      <c r="DR15" s="20">
        <f t="shared" si="16"/>
        <v>230.94237558413718</v>
      </c>
      <c r="DS15" s="57">
        <f t="shared" si="17"/>
        <v>502.27570891747052</v>
      </c>
      <c r="DT15" s="57">
        <f ca="1">AVERAGE(OFFSET($DS$3,0,0,'Données projet'!$E$14+1,1))-AVERAGE(OFFSET($H$3,0,0,'Données projet'!$E$14+1,1))</f>
        <v>239.25212250019609</v>
      </c>
      <c r="DU15" s="57">
        <f t="shared" si="44"/>
        <v>213.58492101729695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1.6</v>
      </c>
      <c r="EJ15" s="12">
        <f>IF('Données projet'!$A$192&gt;35,EJ14+EI15-ER14,IF(A15&lt;'Données projet'!$A$192,$EG$205^A15,IF(A15='Données projet'!$A$192,'Données projet'!$B$192,EJ14+EI15-ER14)))</f>
        <v>7.9999999999999947</v>
      </c>
      <c r="EK15" s="17">
        <f>EJ15*VLOOKUP('Données projet'!$B$15,Paramètres!$A$1:$I$89,3,0)*VLOOKUP('Données projet'!$B$15,Paramètres!$A$1:$I$89,5,0)</f>
        <v>6.8639999999999963</v>
      </c>
      <c r="EL15" s="13">
        <f t="shared" si="45"/>
        <v>2.5278525909113112</v>
      </c>
      <c r="EM15" s="20">
        <f t="shared" si="19"/>
        <v>16.357476595837191</v>
      </c>
      <c r="EN15" s="57">
        <f t="shared" si="20"/>
        <v>287.69080992917048</v>
      </c>
      <c r="EO15" s="57">
        <f ca="1">AVERAGE(OFFSET($EN$3,0,0,'Données projet'!$E$15+1,1))-AVERAGE(OFFSET($H$3,0,0,'Données projet'!$E$15+1,1))</f>
        <v>447.10969593632467</v>
      </c>
      <c r="EP15" s="57">
        <f t="shared" si="46"/>
        <v>256.77417912163997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7" t="e">
        <f t="shared" si="23"/>
        <v>#N/A</v>
      </c>
      <c r="FJ15" s="57" t="e">
        <f ca="1">AVERAGE(OFFSET($FI$3,0,0,'Données projet'!$E$16+1,1))-AVERAGE(OFFSET($H$3,0,0,'Données projet'!$E$16+1,1))</f>
        <v>#N/A</v>
      </c>
      <c r="FK15" s="57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7" t="e">
        <f t="shared" si="26"/>
        <v>#N/A</v>
      </c>
      <c r="GE15" s="57" t="e">
        <f ca="1">AVERAGE(OFFSET($GD$3,0,0,'Données projet'!$E$17+1,1))-AVERAGE(OFFSET($H$3,0,0,'Données projet'!$E$17+1,1))</f>
        <v>#N/A</v>
      </c>
      <c r="GF15" s="57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7" t="e">
        <f t="shared" si="29"/>
        <v>#N/A</v>
      </c>
      <c r="GZ15" s="57" t="e">
        <f ca="1">AVERAGE(OFFSET($GY$3,0,0,'Données projet'!$E$18+1,1))-AVERAGE(OFFSET($H$3,0,0,'Données projet'!$E$18+1,1))</f>
        <v>#N/A</v>
      </c>
      <c r="HA15" s="57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0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4">
        <f t="shared" si="1"/>
        <v>256.66666666666669</v>
      </c>
      <c r="I16" s="6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7">
        <f t="shared" si="0"/>
        <v>314.59166767936932</v>
      </c>
      <c r="S16" s="57">
        <f ca="1">AVERAGE(OFFSET($R$3,0,0,'Données projet'!$E$9+1,1))-AVERAGE(OFFSET($H$3,0,0,'Données projet'!$E$9+1,1))</f>
        <v>443.34220761968419</v>
      </c>
      <c r="T16" s="57">
        <f t="shared" si="34"/>
        <v>546.58234447298014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6.4</v>
      </c>
      <c r="AI16" s="13">
        <f>IF('Données projet'!$A$62&gt;35,AI15+AH16-AQ15,IF(A16&lt;'Données projet'!$A$62,$AF$205^A16,IF(A16='Données projet'!$A$62,'Données projet'!$B$62,AI15+AH16-AQ15)))</f>
        <v>52.235818231954077</v>
      </c>
      <c r="AJ16" s="13">
        <f>AI16*VLOOKUP('Données projet'!$B$10,Paramètres!$A$1:$I$89,3,0)*VLOOKUP('Données projet'!$B$10,Paramètres!$A$1:$I$89,5,0)</f>
        <v>24.446362932554507</v>
      </c>
      <c r="AK16" s="13">
        <f t="shared" si="35"/>
        <v>7.7656565756968332</v>
      </c>
      <c r="AL16" s="20">
        <f t="shared" si="4"/>
        <v>56.102600643537734</v>
      </c>
      <c r="AM16" s="57">
        <f t="shared" si="5"/>
        <v>328.6581561990933</v>
      </c>
      <c r="AN16" s="57">
        <f ca="1">AVERAGE(OFFSET($AM$3,0,0,'Données projet'!$E$10+1,1))-AVERAGE(OFFSET($H$3,0,0,'Données projet'!$E$10+1,1))</f>
        <v>524.3999528951972</v>
      </c>
      <c r="AO16" s="57">
        <f t="shared" si="36"/>
        <v>459.3547783500515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3.7333333333333334</v>
      </c>
      <c r="BD16" s="12">
        <f>IF('Données projet'!$A$88&gt;35,BD15+BC16-BL15,IF(A16&lt;'Données projet'!$A$88,$BA$205^A16,IF(A16='Données projet'!$A$88,'Données projet'!$B$88,BD15+BC16-BL15)))</f>
        <v>32.741327962230365</v>
      </c>
      <c r="BE16" s="13">
        <f>BD16*VLOOKUP('Données projet'!$B$11,Paramètres!$A$1:$I$89,3,0)*VLOOKUP('Données projet'!$B$11,Paramètres!$A$1:$I$89,5,0)</f>
        <v>15.748578749832806</v>
      </c>
      <c r="BF16" s="13">
        <f t="shared" si="37"/>
        <v>5.265438398893667</v>
      </c>
      <c r="BG16" s="20">
        <f t="shared" si="7"/>
        <v>36.599413200698606</v>
      </c>
      <c r="BH16" s="57">
        <f t="shared" si="8"/>
        <v>309.15496875625416</v>
      </c>
      <c r="BI16" s="57">
        <f ca="1">AVERAGE(OFFSET($BH$3,0,0,'Données projet'!$E$11+1,1))-AVERAGE(OFFSET($H$3,0,0,'Données projet'!$E$11+1,1))</f>
        <v>495.6473104257044</v>
      </c>
      <c r="BJ16" s="57">
        <f t="shared" si="38"/>
        <v>430.92527296485201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>
        <f>VLOOKUP(A16,'Données projet'!$A$113:$I$133,2,0)</f>
        <v>89</v>
      </c>
      <c r="BW16" s="12">
        <f>VLOOKUP(A16,'Données projet'!$A$113:$I$133,9,0)</f>
        <v>17</v>
      </c>
      <c r="BX16" s="12">
        <f t="array" ref="BX16">INDEX(BW:BW,MIN(IF(ISNUMBER(BW16:BW212),ROW(BW16:BW212),"")))</f>
        <v>17</v>
      </c>
      <c r="BY16" s="12">
        <f>IF('Données projet'!$A$114&gt;35,BY15+BX16-CG15,IF(A16&lt;'Données projet'!$A$114,$BV$205^A16,IF(A16='Données projet'!$A$114,'Données projet'!$B$114,BY15+BX16-CG15)))</f>
        <v>89</v>
      </c>
      <c r="BZ16" s="13">
        <f>BY16*VLOOKUP('Données projet'!$B$12,Paramètres!$A$1:$I$89,3,0)*VLOOKUP('Données projet'!$B$12,Paramètres!$A$1:$I$89,5,0)</f>
        <v>53.222000000000008</v>
      </c>
      <c r="CA16" s="13">
        <f t="shared" si="39"/>
        <v>15.442806897867877</v>
      </c>
      <c r="CB16" s="20">
        <f t="shared" si="10"/>
        <v>119.59120534711991</v>
      </c>
      <c r="CC16" s="57">
        <f t="shared" si="11"/>
        <v>392.14676090267545</v>
      </c>
      <c r="CD16" s="57">
        <f ca="1">AVERAGE(OFFSET($CC$3,0,0,'Données projet'!$E$12+1,1))-AVERAGE(OFFSET($H$3,0,0,'Données projet'!$E$12+1,1))</f>
        <v>187.80389738728508</v>
      </c>
      <c r="CE16" s="57">
        <f t="shared" si="40"/>
        <v>439.28159165815265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16.277984942160291</v>
      </c>
      <c r="CN16" s="22">
        <f t="shared" si="12"/>
        <v>16.277984942160291</v>
      </c>
      <c r="CO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2.1</v>
      </c>
      <c r="CT16" s="12">
        <f>IF('Données projet'!$A$140&gt;35,CT15+CS16-DB15,IF(A16&lt;'Données projet'!$A$140,$CQ$205^A16,IF(A16='Données projet'!$A$140,'Données projet'!$B$140,CT15+CS16-DB15)))</f>
        <v>11.35303662145153</v>
      </c>
      <c r="CU16" s="17">
        <f>CT16*VLOOKUP('Données projet'!$B$13,Paramètres!$A$1:$I$89,3,0)*VLOOKUP('Données projet'!$B$13,Paramètres!$A$1:$I$89,5,0)</f>
        <v>10.272227535089344</v>
      </c>
      <c r="CV16" s="13">
        <f t="shared" si="41"/>
        <v>3.6095987912522753</v>
      </c>
      <c r="CW16" s="20">
        <f t="shared" si="13"/>
        <v>24.177514185044988</v>
      </c>
      <c r="CX16" s="57">
        <f t="shared" si="14"/>
        <v>296.73306974060051</v>
      </c>
      <c r="CY16" s="57">
        <f ca="1">AVERAGE(OFFSET($CX$3,0,0,'Données projet'!$E$13+1,1))-AVERAGE(OFFSET($H$3,0,0,'Données projet'!$E$13+1,1))</f>
        <v>364.3481978218424</v>
      </c>
      <c r="CZ16" s="57">
        <f t="shared" si="42"/>
        <v>231.36959598460686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13.8</v>
      </c>
      <c r="DO16" s="12">
        <f>IF('Données projet'!$A$166&gt;35,DO15+DN16-DW15,IF(A16&lt;'Données projet'!$A$166,$DL$205^A16,IF(A16='Données projet'!$A$166,'Données projet'!$B$166,DO15+DN16-DW15)))</f>
        <v>156.40000000000003</v>
      </c>
      <c r="DP16" s="17">
        <f>DO16*VLOOKUP('Données projet'!$B$14,Paramètres!$A$1:$I$89,3,0)*VLOOKUP('Données projet'!$B$14,Paramètres!$A$1:$I$89,5,0)</f>
        <v>114.67248000000002</v>
      </c>
      <c r="DQ16" s="13">
        <f t="shared" si="43"/>
        <v>30.42917784146039</v>
      </c>
      <c r="DR16" s="20">
        <f t="shared" si="16"/>
        <v>252.71872074054355</v>
      </c>
      <c r="DS16" s="57">
        <f t="shared" si="17"/>
        <v>525.27427629609906</v>
      </c>
      <c r="DT16" s="57">
        <f ca="1">AVERAGE(OFFSET($DS$3,0,0,'Données projet'!$E$14+1,1))-AVERAGE(OFFSET($H$3,0,0,'Données projet'!$E$14+1,1))</f>
        <v>239.25212250019609</v>
      </c>
      <c r="DU16" s="57">
        <f t="shared" si="44"/>
        <v>213.58492101729695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1.6</v>
      </c>
      <c r="EJ16" s="12">
        <f>IF('Données projet'!$A$192&gt;35,EJ15+EI16-ER15,IF(A16&lt;'Données projet'!$A$192,$EG$205^A16,IF(A16='Données projet'!$A$192,'Données projet'!$B$192,EJ15+EI16-ER15)))</f>
        <v>9.5136569200217629</v>
      </c>
      <c r="EK16" s="17">
        <f>EJ16*VLOOKUP('Données projet'!$B$15,Paramètres!$A$1:$I$89,3,0)*VLOOKUP('Données projet'!$B$15,Paramètres!$A$1:$I$89,5,0)</f>
        <v>8.1627176373786732</v>
      </c>
      <c r="EL16" s="13">
        <f t="shared" si="45"/>
        <v>2.946112121509751</v>
      </c>
      <c r="EM16" s="20">
        <f t="shared" si="19"/>
        <v>19.347878496730672</v>
      </c>
      <c r="EN16" s="57">
        <f t="shared" si="20"/>
        <v>291.90343405228623</v>
      </c>
      <c r="EO16" s="57">
        <f ca="1">AVERAGE(OFFSET($EN$3,0,0,'Données projet'!$E$15+1,1))-AVERAGE(OFFSET($H$3,0,0,'Données projet'!$E$15+1,1))</f>
        <v>447.10969593632467</v>
      </c>
      <c r="EP16" s="57">
        <f t="shared" si="46"/>
        <v>256.77417912163997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7" t="e">
        <f t="shared" si="23"/>
        <v>#N/A</v>
      </c>
      <c r="FJ16" s="57" t="e">
        <f ca="1">AVERAGE(OFFSET($FI$3,0,0,'Données projet'!$E$16+1,1))-AVERAGE(OFFSET($H$3,0,0,'Données projet'!$E$16+1,1))</f>
        <v>#N/A</v>
      </c>
      <c r="FK16" s="57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7" t="e">
        <f t="shared" si="26"/>
        <v>#N/A</v>
      </c>
      <c r="GE16" s="57" t="e">
        <f ca="1">AVERAGE(OFFSET($GD$3,0,0,'Données projet'!$E$17+1,1))-AVERAGE(OFFSET($H$3,0,0,'Données projet'!$E$17+1,1))</f>
        <v>#N/A</v>
      </c>
      <c r="GF16" s="57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7" t="e">
        <f t="shared" si="29"/>
        <v>#N/A</v>
      </c>
      <c r="GZ16" s="57" t="e">
        <f ca="1">AVERAGE(OFFSET($GY$3,0,0,'Données projet'!$E$18+1,1))-AVERAGE(OFFSET($H$3,0,0,'Données projet'!$E$18+1,1))</f>
        <v>#N/A</v>
      </c>
      <c r="HA16" s="57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0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4">
        <f t="shared" si="1"/>
        <v>256.66666666666669</v>
      </c>
      <c r="I17" s="6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7">
        <f t="shared" si="0"/>
        <v>328.3035939534235</v>
      </c>
      <c r="S17" s="57">
        <f ca="1">AVERAGE(OFFSET($R$3,0,0,'Données projet'!$E$9+1,1))-AVERAGE(OFFSET($H$3,0,0,'Données projet'!$E$9+1,1))</f>
        <v>443.34220761968419</v>
      </c>
      <c r="T17" s="57">
        <f t="shared" si="34"/>
        <v>546.58234447298014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6.4</v>
      </c>
      <c r="AI17" s="13">
        <f>IF('Données projet'!$A$62&gt;35,AI16+AH17-AQ16,IF(A17&lt;'Données projet'!$A$62,$AF$205^A17,IF(A17='Données projet'!$A$62,'Données projet'!$B$62,AI16+AH17-AQ16)))</f>
        <v>70.814112649016465</v>
      </c>
      <c r="AJ17" s="13">
        <f>AI17*VLOOKUP('Données projet'!$B$10,Paramètres!$A$1:$I$89,3,0)*VLOOKUP('Données projet'!$B$10,Paramètres!$A$1:$I$89,5,0)</f>
        <v>33.141004719739705</v>
      </c>
      <c r="AK17" s="13">
        <f t="shared" si="35"/>
        <v>10.161250814943998</v>
      </c>
      <c r="AL17" s="20">
        <f t="shared" si="4"/>
        <v>75.418095056240773</v>
      </c>
      <c r="AM17" s="57">
        <f t="shared" si="5"/>
        <v>349.19587283401853</v>
      </c>
      <c r="AN17" s="57">
        <f ca="1">AVERAGE(OFFSET($AM$3,0,0,'Données projet'!$E$10+1,1))-AVERAGE(OFFSET($H$3,0,0,'Données projet'!$E$10+1,1))</f>
        <v>524.3999528951972</v>
      </c>
      <c r="AO17" s="57">
        <f t="shared" si="36"/>
        <v>459.3547783500515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3.7333333333333334</v>
      </c>
      <c r="BD17" s="12">
        <f>IF('Données projet'!$A$88&gt;35,BD16+BC17-BL16,IF(A17&lt;'Données projet'!$A$88,$BA$205^A17,IF(A17='Données projet'!$A$88,'Données projet'!$B$88,BD16+BC17-BL16)))</f>
        <v>42.819555881453262</v>
      </c>
      <c r="BE17" s="13">
        <f>BD17*VLOOKUP('Données projet'!$B$11,Paramètres!$A$1:$I$89,3,0)*VLOOKUP('Données projet'!$B$11,Paramètres!$A$1:$I$89,5,0)</f>
        <v>20.596206378979019</v>
      </c>
      <c r="BF17" s="13">
        <f t="shared" si="37"/>
        <v>6.6744343493703564</v>
      </c>
      <c r="BG17" s="20">
        <f t="shared" si="7"/>
        <v>47.496365935208495</v>
      </c>
      <c r="BH17" s="57">
        <f t="shared" si="8"/>
        <v>321.27414371298624</v>
      </c>
      <c r="BI17" s="57">
        <f ca="1">AVERAGE(OFFSET($BH$3,0,0,'Données projet'!$E$11+1,1))-AVERAGE(OFFSET($H$3,0,0,'Données projet'!$E$11+1,1))</f>
        <v>495.6473104257044</v>
      </c>
      <c r="BJ17" s="57">
        <f t="shared" si="38"/>
        <v>430.92527296485201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>
        <f>VLOOKUP(A17,'Données projet'!$A$113:$I$133,2,0)</f>
        <v>110</v>
      </c>
      <c r="BW17" s="12">
        <f>VLOOKUP(A17,'Données projet'!$A$113:$I$133,9,0)</f>
        <v>21</v>
      </c>
      <c r="BX17" s="12">
        <f t="array" ref="BX17">INDEX(BW:BW,MIN(IF(ISNUMBER(BW17:BW213),ROW(BW17:BW213),"")))</f>
        <v>21</v>
      </c>
      <c r="BY17" s="12">
        <f>IF('Données projet'!$A$114&gt;35,BY16+BX17-CG16,IF(A17&lt;'Données projet'!$A$114,$BV$205^A17,IF(A17='Données projet'!$A$114,'Données projet'!$B$114,BY16+BX17-CG16)))</f>
        <v>110</v>
      </c>
      <c r="BZ17" s="13">
        <f>BY17*VLOOKUP('Données projet'!$B$12,Paramètres!$A$1:$I$89,3,0)*VLOOKUP('Données projet'!$B$12,Paramètres!$A$1:$I$89,5,0)</f>
        <v>65.78</v>
      </c>
      <c r="CA17" s="13">
        <f t="shared" si="39"/>
        <v>18.621720661480644</v>
      </c>
      <c r="CB17" s="20">
        <f t="shared" si="10"/>
        <v>146.99966348541213</v>
      </c>
      <c r="CC17" s="57">
        <f t="shared" si="11"/>
        <v>420.77744126318987</v>
      </c>
      <c r="CD17" s="57">
        <f ca="1">AVERAGE(OFFSET($CC$3,0,0,'Données projet'!$E$12+1,1))-AVERAGE(OFFSET($H$3,0,0,'Données projet'!$E$12+1,1))</f>
        <v>187.80389738728508</v>
      </c>
      <c r="CE17" s="57">
        <f t="shared" si="40"/>
        <v>439.28159165815265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11.510273536654053</v>
      </c>
      <c r="CN17" s="22">
        <f t="shared" si="12"/>
        <v>11.510273536654053</v>
      </c>
      <c r="CO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2.1</v>
      </c>
      <c r="CT17" s="12">
        <f>IF('Données projet'!$A$140&gt;35,CT16+CS17-DB16,IF(A17&lt;'Données projet'!$A$140,$CQ$205^A17,IF(A17='Données projet'!$A$140,'Données projet'!$B$140,CT16+CS17-DB16)))</f>
        <v>13.685935953338433</v>
      </c>
      <c r="CU17" s="17">
        <f>CT17*VLOOKUP('Données projet'!$B$13,Paramètres!$A$1:$I$89,3,0)*VLOOKUP('Données projet'!$B$13,Paramètres!$A$1:$I$89,5,0)</f>
        <v>12.383034850580612</v>
      </c>
      <c r="CV17" s="13">
        <f t="shared" si="41"/>
        <v>4.2576904771143838</v>
      </c>
      <c r="CW17" s="20">
        <f t="shared" si="13"/>
        <v>28.982596612402116</v>
      </c>
      <c r="CX17" s="57">
        <f t="shared" si="14"/>
        <v>302.76037439017989</v>
      </c>
      <c r="CY17" s="57">
        <f ca="1">AVERAGE(OFFSET($CX$3,0,0,'Données projet'!$E$13+1,1))-AVERAGE(OFFSET($H$3,0,0,'Données projet'!$E$13+1,1))</f>
        <v>364.3481978218424</v>
      </c>
      <c r="CZ17" s="57">
        <f t="shared" si="42"/>
        <v>231.36959598460686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13.8</v>
      </c>
      <c r="DO17" s="12">
        <f>IF('Données projet'!$A$166&gt;35,DO16+DN17-DW16,IF(A17&lt;'Données projet'!$A$166,$DL$205^A17,IF(A17='Données projet'!$A$166,'Données projet'!$B$166,DO16+DN17-DW16)))</f>
        <v>170.20000000000005</v>
      </c>
      <c r="DP17" s="17">
        <f>DO17*VLOOKUP('Données projet'!$B$14,Paramètres!$A$1:$I$89,3,0)*VLOOKUP('Données projet'!$B$14,Paramètres!$A$1:$I$89,5,0)</f>
        <v>124.79064000000002</v>
      </c>
      <c r="DQ17" s="13">
        <f t="shared" si="43"/>
        <v>32.789779085419845</v>
      </c>
      <c r="DR17" s="20">
        <f t="shared" si="16"/>
        <v>274.45256324043959</v>
      </c>
      <c r="DS17" s="57">
        <f t="shared" si="17"/>
        <v>548.23034101821736</v>
      </c>
      <c r="DT17" s="57">
        <f ca="1">AVERAGE(OFFSET($DS$3,0,0,'Données projet'!$E$14+1,1))-AVERAGE(OFFSET($H$3,0,0,'Données projet'!$E$14+1,1))</f>
        <v>239.25212250019609</v>
      </c>
      <c r="DU17" s="57">
        <f t="shared" si="44"/>
        <v>213.58492101729695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1.6</v>
      </c>
      <c r="EJ17" s="12">
        <f>IF('Données projet'!$A$192&gt;35,EJ16+EI17-ER16,IF(A17&lt;'Données projet'!$A$192,$EG$205^A17,IF(A17='Données projet'!$A$192,'Données projet'!$B$192,EJ16+EI17-ER16)))</f>
        <v>11.313708498984752</v>
      </c>
      <c r="EK17" s="17">
        <f>EJ17*VLOOKUP('Données projet'!$B$15,Paramètres!$A$1:$I$89,3,0)*VLOOKUP('Données projet'!$B$15,Paramètres!$A$1:$I$89,5,0)</f>
        <v>9.7071618921289176</v>
      </c>
      <c r="EL17" s="13">
        <f t="shared" si="45"/>
        <v>3.433577046269785</v>
      </c>
      <c r="EM17" s="20">
        <f t="shared" si="19"/>
        <v>22.886786984377736</v>
      </c>
      <c r="EN17" s="57">
        <f t="shared" si="20"/>
        <v>296.66456476215552</v>
      </c>
      <c r="EO17" s="57">
        <f ca="1">AVERAGE(OFFSET($EN$3,0,0,'Données projet'!$E$15+1,1))-AVERAGE(OFFSET($H$3,0,0,'Données projet'!$E$15+1,1))</f>
        <v>447.10969593632467</v>
      </c>
      <c r="EP17" s="57">
        <f t="shared" si="46"/>
        <v>256.77417912163997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7" t="e">
        <f t="shared" si="23"/>
        <v>#N/A</v>
      </c>
      <c r="FJ17" s="57" t="e">
        <f ca="1">AVERAGE(OFFSET($FI$3,0,0,'Données projet'!$E$16+1,1))-AVERAGE(OFFSET($H$3,0,0,'Données projet'!$E$16+1,1))</f>
        <v>#N/A</v>
      </c>
      <c r="FK17" s="57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7" t="e">
        <f t="shared" si="26"/>
        <v>#N/A</v>
      </c>
      <c r="GE17" s="57" t="e">
        <f ca="1">AVERAGE(OFFSET($GD$3,0,0,'Données projet'!$E$17+1,1))-AVERAGE(OFFSET($H$3,0,0,'Données projet'!$E$17+1,1))</f>
        <v>#N/A</v>
      </c>
      <c r="GF17" s="57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7" t="e">
        <f t="shared" si="29"/>
        <v>#N/A</v>
      </c>
      <c r="GZ17" s="57" t="e">
        <f ca="1">AVERAGE(OFFSET($GY$3,0,0,'Données projet'!$E$18+1,1))-AVERAGE(OFFSET($H$3,0,0,'Données projet'!$E$18+1,1))</f>
        <v>#N/A</v>
      </c>
      <c r="HA17" s="57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0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4">
        <f t="shared" si="1"/>
        <v>256.66666666666669</v>
      </c>
      <c r="I18" s="6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7">
        <f t="shared" si="0"/>
        <v>345.73903563222814</v>
      </c>
      <c r="S18" s="57">
        <f ca="1">AVERAGE(OFFSET($R$3,0,0,'Données projet'!$E$9+1,1))-AVERAGE(OFFSET($H$3,0,0,'Données projet'!$E$9+1,1))</f>
        <v>443.34220761968419</v>
      </c>
      <c r="T18" s="57">
        <f t="shared" si="34"/>
        <v>546.58234447298014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96</v>
      </c>
      <c r="AG18" s="12">
        <f>VLOOKUP(A18,'Données projet'!$A$61:$I$81,9,0)</f>
        <v>6.4</v>
      </c>
      <c r="AH18" s="12">
        <f t="array" ref="AH18">INDEX(AG:AG,MIN(IF(ISNUMBER(AG18:AG214),ROW(AG18:AG214),"")))</f>
        <v>6.4</v>
      </c>
      <c r="AI18" s="13">
        <f>IF('Données projet'!$A$62&gt;35,AI17+AH18-AQ17,IF(A18&lt;'Données projet'!$A$62,$AF$205^A18,IF(A18='Données projet'!$A$62,'Données projet'!$B$62,AI17+AH18-AQ17)))</f>
        <v>96</v>
      </c>
      <c r="AJ18" s="13">
        <f>AI18*VLOOKUP('Données projet'!$B$10,Paramètres!$A$1:$I$89,3,0)*VLOOKUP('Données projet'!$B$10,Paramètres!$A$1:$I$89,5,0)</f>
        <v>44.928000000000004</v>
      </c>
      <c r="AK18" s="13">
        <f t="shared" si="35"/>
        <v>13.295851692351595</v>
      </c>
      <c r="AL18" s="20">
        <f t="shared" si="4"/>
        <v>101.40654169751237</v>
      </c>
      <c r="AM18" s="57">
        <f t="shared" si="5"/>
        <v>376.40654169751235</v>
      </c>
      <c r="AN18" s="57">
        <f ca="1">AVERAGE(OFFSET($AM$3,0,0,'Données projet'!$E$10+1,1))-AVERAGE(OFFSET($H$3,0,0,'Données projet'!$E$10+1,1))</f>
        <v>524.3999528951972</v>
      </c>
      <c r="AO18" s="57">
        <f t="shared" si="36"/>
        <v>459.3547783500515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56</v>
      </c>
      <c r="BB18" s="12">
        <f>VLOOKUP(A18,'Données projet'!$A$87:$I$107,9,0)</f>
        <v>3.7333333333333334</v>
      </c>
      <c r="BC18" s="12">
        <f t="array" ref="BC18">INDEX(BB:BB,MIN(IF(ISNUMBER(BB18:BB214),ROW(BB18:BB214),"")))</f>
        <v>3.7333333333333334</v>
      </c>
      <c r="BD18" s="12">
        <f>IF('Données projet'!$A$88&gt;35,BD17+BC18-BL17,IF(A18&lt;'Données projet'!$A$88,$BA$205^A18,IF(A18='Données projet'!$A$88,'Données projet'!$B$88,BD17+BC18-BL17)))</f>
        <v>56</v>
      </c>
      <c r="BE18" s="13">
        <f>BD18*VLOOKUP('Données projet'!$B$11,Paramètres!$A$1:$I$89,3,0)*VLOOKUP('Données projet'!$B$11,Paramètres!$A$1:$I$89,5,0)</f>
        <v>26.936</v>
      </c>
      <c r="BF18" s="13">
        <f t="shared" si="37"/>
        <v>8.4604681527401464</v>
      </c>
      <c r="BG18" s="20">
        <f t="shared" si="7"/>
        <v>61.64884869935576</v>
      </c>
      <c r="BH18" s="57">
        <f t="shared" si="8"/>
        <v>336.64884869935577</v>
      </c>
      <c r="BI18" s="57">
        <f ca="1">AVERAGE(OFFSET($BH$3,0,0,'Données projet'!$E$11+1,1))-AVERAGE(OFFSET($H$3,0,0,'Données projet'!$E$11+1,1))</f>
        <v>495.6473104257044</v>
      </c>
      <c r="BJ18" s="57">
        <f t="shared" si="38"/>
        <v>430.92527296485201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131</v>
      </c>
      <c r="BW18" s="12">
        <f>VLOOKUP(A18,'Données projet'!$A$113:$I$133,9,0)</f>
        <v>21</v>
      </c>
      <c r="BX18" s="12">
        <f t="array" ref="BX18">INDEX(BW:BW,MIN(IF(ISNUMBER(BW18:BW214),ROW(BW18:BW214),"")))</f>
        <v>21</v>
      </c>
      <c r="BY18" s="12">
        <f>IF('Données projet'!$A$114&gt;35,BY17+BX18-CG17,IF(A18&lt;'Données projet'!$A$114,$BV$205^A18,IF(A18='Données projet'!$A$114,'Données projet'!$B$114,BY17+BX18-CG17)))</f>
        <v>131</v>
      </c>
      <c r="BZ18" s="13">
        <f>BY18*VLOOKUP('Données projet'!$B$12,Paramètres!$A$1:$I$89,3,0)*VLOOKUP('Données projet'!$B$12,Paramètres!$A$1:$I$89,5,0)</f>
        <v>78.338000000000008</v>
      </c>
      <c r="CA18" s="13">
        <f t="shared" si="39"/>
        <v>21.730321306378922</v>
      </c>
      <c r="CB18" s="20">
        <f t="shared" si="10"/>
        <v>174.28565960860999</v>
      </c>
      <c r="CC18" s="57">
        <f t="shared" si="11"/>
        <v>449.28565960860999</v>
      </c>
      <c r="CD18" s="57">
        <f ca="1">AVERAGE(OFFSET($CC$3,0,0,'Données projet'!$E$12+1,1))-AVERAGE(OFFSET($H$3,0,0,'Données projet'!$E$12+1,1))</f>
        <v>187.80389738728508</v>
      </c>
      <c r="CE18" s="57">
        <f t="shared" si="40"/>
        <v>439.28159165815265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8.1389924710801456</v>
      </c>
      <c r="CN18" s="22">
        <f t="shared" si="12"/>
        <v>8.1389924710801456</v>
      </c>
      <c r="CO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2.1</v>
      </c>
      <c r="CT18" s="12">
        <f>IF('Données projet'!$A$140&gt;35,CT17+CS18-DB17,IF(A18&lt;'Données projet'!$A$140,$CQ$205^A18,IF(A18='Données projet'!$A$140,'Données projet'!$B$140,CT17+CS18-DB17)))</f>
        <v>16.498215337821566</v>
      </c>
      <c r="CU18" s="17">
        <f>CT18*VLOOKUP('Données projet'!$B$13,Paramètres!$A$1:$I$89,3,0)*VLOOKUP('Données projet'!$B$13,Paramètres!$A$1:$I$89,5,0)</f>
        <v>14.927585237660953</v>
      </c>
      <c r="CV18" s="13">
        <f t="shared" si="41"/>
        <v>5.0221449106318534</v>
      </c>
      <c r="CW18" s="20">
        <f t="shared" si="13"/>
        <v>34.745780008276633</v>
      </c>
      <c r="CX18" s="57">
        <f t="shared" si="14"/>
        <v>309.74578000827665</v>
      </c>
      <c r="CY18" s="57">
        <f ca="1">AVERAGE(OFFSET($CX$3,0,0,'Données projet'!$E$13+1,1))-AVERAGE(OFFSET($H$3,0,0,'Données projet'!$E$13+1,1))</f>
        <v>364.3481978218424</v>
      </c>
      <c r="CZ18" s="57">
        <f t="shared" si="42"/>
        <v>231.36959598460686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184</v>
      </c>
      <c r="DM18" s="12">
        <f>VLOOKUP(A18,'Données projet'!$A$165:$I$185,9,0)</f>
        <v>13.8</v>
      </c>
      <c r="DN18" s="12">
        <f t="array" ref="DN18">INDEX(DM:DM,MIN(IF(ISNUMBER(DM18:DM214),ROW(DM18:DM214),"")))</f>
        <v>13.8</v>
      </c>
      <c r="DO18" s="12">
        <f>IF('Données projet'!$A$166&gt;35,DO17+DN18-DW17,IF(A18&lt;'Données projet'!$A$166,$DL$205^A18,IF(A18='Données projet'!$A$166,'Données projet'!$B$166,DO17+DN18-DW17)))</f>
        <v>184.00000000000006</v>
      </c>
      <c r="DP18" s="17">
        <f>DO18*VLOOKUP('Données projet'!$B$14,Paramètres!$A$1:$I$89,3,0)*VLOOKUP('Données projet'!$B$14,Paramètres!$A$1:$I$89,5,0)</f>
        <v>134.90880000000004</v>
      </c>
      <c r="DQ18" s="13">
        <f t="shared" si="43"/>
        <v>35.128180500859067</v>
      </c>
      <c r="DR18" s="20">
        <f t="shared" si="16"/>
        <v>296.14774103899623</v>
      </c>
      <c r="DS18" s="57">
        <f t="shared" si="17"/>
        <v>571.14774103899617</v>
      </c>
      <c r="DT18" s="57">
        <f ca="1">AVERAGE(OFFSET($DS$3,0,0,'Données projet'!$E$14+1,1))-AVERAGE(OFFSET($H$3,0,0,'Données projet'!$E$14+1,1))</f>
        <v>239.25212250019609</v>
      </c>
      <c r="DU18" s="57">
        <f t="shared" si="44"/>
        <v>213.58492101729695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1.6</v>
      </c>
      <c r="EJ18" s="12">
        <f>IF('Données projet'!$A$192&gt;35,EJ17+EI18-ER17,IF(A18&lt;'Données projet'!$A$192,$EG$205^A18,IF(A18='Données projet'!$A$192,'Données projet'!$B$192,EJ17+EI18-ER17)))</f>
        <v>13.454342644059421</v>
      </c>
      <c r="EK18" s="17">
        <f>EJ18*VLOOKUP('Données projet'!$B$15,Paramètres!$A$1:$I$89,3,0)*VLOOKUP('Données projet'!$B$15,Paramètres!$A$1:$I$89,5,0)</f>
        <v>11.543825988602984</v>
      </c>
      <c r="EL18" s="13">
        <f t="shared" si="45"/>
        <v>4.0016981182064377</v>
      </c>
      <c r="EM18" s="20">
        <f t="shared" si="19"/>
        <v>27.075121152693075</v>
      </c>
      <c r="EN18" s="57">
        <f t="shared" si="20"/>
        <v>302.0751211526931</v>
      </c>
      <c r="EO18" s="57">
        <f ca="1">AVERAGE(OFFSET($EN$3,0,0,'Données projet'!$E$15+1,1))-AVERAGE(OFFSET($H$3,0,0,'Données projet'!$E$15+1,1))</f>
        <v>447.10969593632467</v>
      </c>
      <c r="EP18" s="57">
        <f t="shared" si="46"/>
        <v>256.77417912163997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7" t="e">
        <f t="shared" si="23"/>
        <v>#N/A</v>
      </c>
      <c r="FJ18" s="57" t="e">
        <f ca="1">AVERAGE(OFFSET($FI$3,0,0,'Données projet'!$E$16+1,1))-AVERAGE(OFFSET($H$3,0,0,'Données projet'!$E$16+1,1))</f>
        <v>#N/A</v>
      </c>
      <c r="FK18" s="57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7" t="e">
        <f t="shared" si="26"/>
        <v>#N/A</v>
      </c>
      <c r="GE18" s="57" t="e">
        <f ca="1">AVERAGE(OFFSET($GD$3,0,0,'Données projet'!$E$17+1,1))-AVERAGE(OFFSET($H$3,0,0,'Données projet'!$E$17+1,1))</f>
        <v>#N/A</v>
      </c>
      <c r="GF18" s="57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7" t="e">
        <f t="shared" si="29"/>
        <v>#N/A</v>
      </c>
      <c r="GZ18" s="57" t="e">
        <f ca="1">AVERAGE(OFFSET($GY$3,0,0,'Données projet'!$E$18+1,1))-AVERAGE(OFFSET($H$3,0,0,'Données projet'!$E$18+1,1))</f>
        <v>#N/A</v>
      </c>
      <c r="HA18" s="57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0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4">
        <f t="shared" si="1"/>
        <v>256.66666666666669</v>
      </c>
      <c r="I19" s="6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7">
        <f t="shared" si="0"/>
        <v>368.01154650081702</v>
      </c>
      <c r="S19" s="57">
        <f ca="1">AVERAGE(OFFSET($R$3,0,0,'Données projet'!$E$9+1,1))-AVERAGE(OFFSET($H$3,0,0,'Données projet'!$E$9+1,1))</f>
        <v>443.34220761968419</v>
      </c>
      <c r="T19" s="57">
        <f t="shared" si="34"/>
        <v>546.58234447298014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27</v>
      </c>
      <c r="AI19" s="13">
        <f>IF('Données projet'!$A$62&gt;35,AI18+AH19-AQ18,IF(A19&lt;'Données projet'!$A$62,$AF$205^A19,IF(A19='Données projet'!$A$62,'Données projet'!$B$62,AI18+AH19-AQ18)))</f>
        <v>123</v>
      </c>
      <c r="AJ19" s="13">
        <f>AI19*VLOOKUP('Données projet'!$B$10,Paramètres!$A$1:$I$89,3,0)*VLOOKUP('Données projet'!$B$10,Paramètres!$A$1:$I$89,5,0)</f>
        <v>57.564</v>
      </c>
      <c r="AK19" s="13">
        <f t="shared" si="35"/>
        <v>16.550893994707867</v>
      </c>
      <c r="AL19" s="20">
        <f t="shared" si="4"/>
        <v>129.08344037411621</v>
      </c>
      <c r="AM19" s="57">
        <f t="shared" si="5"/>
        <v>405.30566259633844</v>
      </c>
      <c r="AN19" s="57">
        <f ca="1">AVERAGE(OFFSET($AM$3,0,0,'Données projet'!$E$10+1,1))-AVERAGE(OFFSET($H$3,0,0,'Données projet'!$E$10+1,1))</f>
        <v>524.3999528951972</v>
      </c>
      <c r="AO19" s="57">
        <f t="shared" si="36"/>
        <v>459.3547783500515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25.8</v>
      </c>
      <c r="BD19" s="12">
        <f>IF('Données projet'!$A$88&gt;35,BD18+BC19-BL18,IF(A19&lt;'Données projet'!$A$88,$BA$205^A19,IF(A19='Données projet'!$A$88,'Données projet'!$B$88,BD18+BC19-BL18)))</f>
        <v>81.8</v>
      </c>
      <c r="BE19" s="13">
        <f>BD19*VLOOKUP('Données projet'!$B$11,Paramètres!$A$1:$I$89,3,0)*VLOOKUP('Données projet'!$B$11,Paramètres!$A$1:$I$89,5,0)</f>
        <v>39.345799999999997</v>
      </c>
      <c r="BF19" s="13">
        <f t="shared" si="37"/>
        <v>11.825085062633269</v>
      </c>
      <c r="BG19" s="20">
        <f t="shared" si="7"/>
        <v>89.122624817419606</v>
      </c>
      <c r="BH19" s="57">
        <f t="shared" si="8"/>
        <v>365.34484703964182</v>
      </c>
      <c r="BI19" s="57">
        <f ca="1">AVERAGE(OFFSET($BH$3,0,0,'Données projet'!$E$11+1,1))-AVERAGE(OFFSET($H$3,0,0,'Données projet'!$E$11+1,1))</f>
        <v>495.6473104257044</v>
      </c>
      <c r="BJ19" s="57">
        <f t="shared" si="38"/>
        <v>430.92527296485201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>
        <f>VLOOKUP(A19,'Données projet'!$A$113:$I$133,2,0)</f>
        <v>153</v>
      </c>
      <c r="BW19" s="12">
        <f>VLOOKUP(A19,'Données projet'!$A$113:$I$133,9,0)</f>
        <v>22</v>
      </c>
      <c r="BX19" s="12">
        <f t="array" ref="BX19">INDEX(BW:BW,MIN(IF(ISNUMBER(BW19:BW215),ROW(BW19:BW215),"")))</f>
        <v>22</v>
      </c>
      <c r="BY19" s="12">
        <f>IF('Données projet'!$A$114&gt;35,BY18+BX19-CG18,IF(A19&lt;'Données projet'!$A$114,$BV$205^A19,IF(A19='Données projet'!$A$114,'Données projet'!$B$114,BY18+BX19-CG18)))</f>
        <v>153</v>
      </c>
      <c r="BZ19" s="13">
        <f>BY19*VLOOKUP('Données projet'!$B$12,Paramètres!$A$1:$I$89,3,0)*VLOOKUP('Données projet'!$B$12,Paramètres!$A$1:$I$89,5,0)</f>
        <v>91.494000000000014</v>
      </c>
      <c r="CA19" s="13">
        <f t="shared" si="39"/>
        <v>24.925195840896542</v>
      </c>
      <c r="CB19" s="20">
        <f t="shared" si="10"/>
        <v>202.76343275622813</v>
      </c>
      <c r="CC19" s="57">
        <f t="shared" si="11"/>
        <v>478.98565497845038</v>
      </c>
      <c r="CD19" s="57">
        <f ca="1">AVERAGE(OFFSET($CC$3,0,0,'Données projet'!$E$12+1,1))-AVERAGE(OFFSET($H$3,0,0,'Données projet'!$E$12+1,1))</f>
        <v>187.80389738728508</v>
      </c>
      <c r="CE19" s="57">
        <f t="shared" si="40"/>
        <v>439.28159165815265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5.7551367683270263</v>
      </c>
      <c r="CN19" s="22">
        <f t="shared" si="12"/>
        <v>5.7551367683270263</v>
      </c>
      <c r="CO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2.1</v>
      </c>
      <c r="CT19" s="12">
        <f>IF('Données projet'!$A$140&gt;35,CT18+CS19-DB18,IF(A19&lt;'Données projet'!$A$140,$CQ$205^A19,IF(A19='Données projet'!$A$140,'Données projet'!$B$140,CT18+CS19-DB18)))</f>
        <v>19.888381054913147</v>
      </c>
      <c r="CU19" s="17">
        <f>CT19*VLOOKUP('Données projet'!$B$13,Paramètres!$A$1:$I$89,3,0)*VLOOKUP('Données projet'!$B$13,Paramètres!$A$1:$I$89,5,0)</f>
        <v>17.995007178485412</v>
      </c>
      <c r="CV19" s="13">
        <f t="shared" si="41"/>
        <v>5.9238546434872337</v>
      </c>
      <c r="CW19" s="20">
        <f t="shared" si="13"/>
        <v>41.658684339935689</v>
      </c>
      <c r="CX19" s="57">
        <f t="shared" si="14"/>
        <v>317.88090656215792</v>
      </c>
      <c r="CY19" s="57">
        <f ca="1">AVERAGE(OFFSET($CX$3,0,0,'Données projet'!$E$13+1,1))-AVERAGE(OFFSET($H$3,0,0,'Données projet'!$E$13+1,1))</f>
        <v>364.3481978218424</v>
      </c>
      <c r="CZ19" s="57">
        <f t="shared" si="42"/>
        <v>231.36959598460686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13.666666666666666</v>
      </c>
      <c r="DO19" s="12">
        <f>IF('Données projet'!$A$166&gt;35,DO18+DN19-DW18,IF(A19&lt;'Données projet'!$A$166,$DL$205^A19,IF(A19='Données projet'!$A$166,'Données projet'!$B$166,DO18+DN19-DW18)))</f>
        <v>197.66666666666671</v>
      </c>
      <c r="DP19" s="17">
        <f>DO19*VLOOKUP('Données projet'!$B$14,Paramètres!$A$1:$I$89,3,0)*VLOOKUP('Données projet'!$B$14,Paramètres!$A$1:$I$89,5,0)</f>
        <v>144.92920000000004</v>
      </c>
      <c r="DQ19" s="13">
        <f t="shared" si="43"/>
        <v>37.423931852603523</v>
      </c>
      <c r="DR19" s="20">
        <f t="shared" si="16"/>
        <v>317.59837130995112</v>
      </c>
      <c r="DS19" s="57">
        <f t="shared" si="17"/>
        <v>593.82059353217335</v>
      </c>
      <c r="DT19" s="57">
        <f ca="1">AVERAGE(OFFSET($DS$3,0,0,'Données projet'!$E$14+1,1))-AVERAGE(OFFSET($H$3,0,0,'Données projet'!$E$14+1,1))</f>
        <v>239.25212250019609</v>
      </c>
      <c r="DU19" s="57">
        <f t="shared" si="44"/>
        <v>213.58492101729695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1.6</v>
      </c>
      <c r="EJ19" s="12">
        <f>IF('Données projet'!$A$192&gt;35,EJ18+EI19-ER18,IF(A19&lt;'Données projet'!$A$192,$EG$205^A19,IF(A19='Données projet'!$A$192,'Données projet'!$B$192,EJ18+EI19-ER18)))</f>
        <v>15.999999999999986</v>
      </c>
      <c r="EK19" s="17">
        <f>EJ19*VLOOKUP('Données projet'!$B$15,Paramètres!$A$1:$I$89,3,0)*VLOOKUP('Données projet'!$B$15,Paramètres!$A$1:$I$89,5,0)</f>
        <v>13.727999999999991</v>
      </c>
      <c r="EL19" s="13">
        <f t="shared" si="45"/>
        <v>4.6638207366437268</v>
      </c>
      <c r="EM19" s="20">
        <f t="shared" si="19"/>
        <v>32.032421116321139</v>
      </c>
      <c r="EN19" s="57">
        <f t="shared" si="20"/>
        <v>308.25464333854336</v>
      </c>
      <c r="EO19" s="57">
        <f ca="1">AVERAGE(OFFSET($EN$3,0,0,'Données projet'!$E$15+1,1))-AVERAGE(OFFSET($H$3,0,0,'Données projet'!$E$15+1,1))</f>
        <v>447.10969593632467</v>
      </c>
      <c r="EP19" s="57">
        <f t="shared" si="46"/>
        <v>256.77417912163997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7" t="e">
        <f t="shared" si="23"/>
        <v>#N/A</v>
      </c>
      <c r="FJ19" s="57" t="e">
        <f ca="1">AVERAGE(OFFSET($FI$3,0,0,'Données projet'!$E$16+1,1))-AVERAGE(OFFSET($H$3,0,0,'Données projet'!$E$16+1,1))</f>
        <v>#N/A</v>
      </c>
      <c r="FK19" s="57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7" t="e">
        <f t="shared" si="26"/>
        <v>#N/A</v>
      </c>
      <c r="GE19" s="57" t="e">
        <f ca="1">AVERAGE(OFFSET($GD$3,0,0,'Données projet'!$E$17+1,1))-AVERAGE(OFFSET($H$3,0,0,'Données projet'!$E$17+1,1))</f>
        <v>#N/A</v>
      </c>
      <c r="GF19" s="57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7" t="e">
        <f t="shared" si="29"/>
        <v>#N/A</v>
      </c>
      <c r="GZ19" s="57" t="e">
        <f ca="1">AVERAGE(OFFSET($GY$3,0,0,'Données projet'!$E$18+1,1))-AVERAGE(OFFSET($H$3,0,0,'Données projet'!$E$18+1,1))</f>
        <v>#N/A</v>
      </c>
      <c r="HA19" s="57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0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4">
        <f t="shared" si="1"/>
        <v>256.66666666666669</v>
      </c>
      <c r="I20" s="6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7">
        <f t="shared" si="0"/>
        <v>396.56865461000649</v>
      </c>
      <c r="S20" s="57">
        <f ca="1">AVERAGE(OFFSET($R$3,0,0,'Données projet'!$E$9+1,1))-AVERAGE(OFFSET($H$3,0,0,'Données projet'!$E$9+1,1))</f>
        <v>443.34220761968419</v>
      </c>
      <c r="T20" s="57">
        <f t="shared" si="34"/>
        <v>546.58234447298014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27</v>
      </c>
      <c r="AI20" s="13">
        <f>IF('Données projet'!$A$62&gt;35,AI19+AH20-AQ19,IF(A20&lt;'Données projet'!$A$62,$AF$205^A20,IF(A20='Données projet'!$A$62,'Données projet'!$B$62,AI19+AH20-AQ19)))</f>
        <v>150</v>
      </c>
      <c r="AJ20" s="13">
        <f>AI20*VLOOKUP('Données projet'!$B$10,Paramètres!$A$1:$I$89,3,0)*VLOOKUP('Données projet'!$B$10,Paramètres!$A$1:$I$89,5,0)</f>
        <v>70.2</v>
      </c>
      <c r="AK20" s="13">
        <f t="shared" si="35"/>
        <v>19.723116370112194</v>
      </c>
      <c r="AL20" s="20">
        <f t="shared" si="4"/>
        <v>156.61609434461207</v>
      </c>
      <c r="AM20" s="57">
        <f t="shared" si="5"/>
        <v>434.06053878905652</v>
      </c>
      <c r="AN20" s="57">
        <f ca="1">AVERAGE(OFFSET($AM$3,0,0,'Données projet'!$E$10+1,1))-AVERAGE(OFFSET($H$3,0,0,'Données projet'!$E$10+1,1))</f>
        <v>524.3999528951972</v>
      </c>
      <c r="AO20" s="57">
        <f t="shared" si="36"/>
        <v>459.3547783500515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25.8</v>
      </c>
      <c r="BD20" s="12">
        <f>IF('Données projet'!$A$88&gt;35,BD19+BC20-BL19,IF(A20&lt;'Données projet'!$A$88,$BA$205^A20,IF(A20='Données projet'!$A$88,'Données projet'!$B$88,BD19+BC20-BL19)))</f>
        <v>107.6</v>
      </c>
      <c r="BE20" s="13">
        <f>BD20*VLOOKUP('Données projet'!$B$11,Paramètres!$A$1:$I$89,3,0)*VLOOKUP('Données projet'!$B$11,Paramètres!$A$1:$I$89,5,0)</f>
        <v>51.755600000000001</v>
      </c>
      <c r="BF20" s="13">
        <f t="shared" si="37"/>
        <v>15.066236391696064</v>
      </c>
      <c r="BG20" s="20">
        <f t="shared" si="7"/>
        <v>116.38136504887065</v>
      </c>
      <c r="BH20" s="57">
        <f t="shared" si="8"/>
        <v>393.82580949331509</v>
      </c>
      <c r="BI20" s="57">
        <f ca="1">AVERAGE(OFFSET($BH$3,0,0,'Données projet'!$E$11+1,1))-AVERAGE(OFFSET($H$3,0,0,'Données projet'!$E$11+1,1))</f>
        <v>495.6473104257044</v>
      </c>
      <c r="BJ20" s="57">
        <f t="shared" si="38"/>
        <v>430.92527296485201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>
        <f>VLOOKUP(A20,'Données projet'!$A$113:$I$133,2,0)</f>
        <v>176</v>
      </c>
      <c r="BW20" s="12">
        <f>VLOOKUP(A20,'Données projet'!$A$113:$I$133,9,0)</f>
        <v>23</v>
      </c>
      <c r="BX20" s="12">
        <f t="array" ref="BX20">INDEX(BW:BW,MIN(IF(ISNUMBER(BW20:BW216),ROW(BW20:BW216),"")))</f>
        <v>23</v>
      </c>
      <c r="BY20" s="12">
        <f>IF('Données projet'!$A$114&gt;35,BY19+BX20-CG19,IF(A20&lt;'Données projet'!$A$114,$BV$205^A20,IF(A20='Données projet'!$A$114,'Données projet'!$B$114,BY19+BX20-CG19)))</f>
        <v>176</v>
      </c>
      <c r="BZ20" s="13">
        <f>BY20*VLOOKUP('Données projet'!$B$12,Paramètres!$A$1:$I$89,3,0)*VLOOKUP('Données projet'!$B$12,Paramètres!$A$1:$I$89,5,0)</f>
        <v>105.24800000000002</v>
      </c>
      <c r="CA20" s="13">
        <f t="shared" si="39"/>
        <v>28.208515027560551</v>
      </c>
      <c r="CB20" s="20">
        <f t="shared" si="10"/>
        <v>232.43676367300131</v>
      </c>
      <c r="CC20" s="57">
        <f t="shared" si="11"/>
        <v>509.88120811744579</v>
      </c>
      <c r="CD20" s="57">
        <f ca="1">AVERAGE(OFFSET($CC$3,0,0,'Données projet'!$E$12+1,1))-AVERAGE(OFFSET($H$3,0,0,'Données projet'!$E$12+1,1))</f>
        <v>187.80389738728508</v>
      </c>
      <c r="CE20" s="57">
        <f t="shared" si="40"/>
        <v>439.28159165815265</v>
      </c>
      <c r="CF20" s="15">
        <f>IF(ISNA(VLOOKUP(A20,'Données projet'!$A$113:$I$133,3,0)),0,VLOOKUP(A20,'Données projet'!$A$113:$I$133,3,0))</f>
        <v>2</v>
      </c>
      <c r="CG20" s="15">
        <f>IF(ISNA(VLOOKUP(A20,'Données projet'!$A$113:$I$133,4,0)),0,VLOOKUP(A20,'Données projet'!$A$113:$I$133,4,0))</f>
        <v>43</v>
      </c>
      <c r="CH20" s="16">
        <f>IF(ISNA(VLOOKUP(A20,'Données projet'!$A$113:$I$133,5,0)),0%,VLOOKUP(A20,'Données projet'!$A$113:$I$133,5,0)*VLOOKUP('Données projet'!$B$12,Paramètres!$A$1:$I$89,7,0))</f>
        <v>0.1125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0.75</v>
      </c>
      <c r="CK20" s="21">
        <f>EXP(-LN(2)/35)*CK19+(1-EXP(-LN(2)/35))/(LN(2)/35)*CG20*CH20*VLOOKUP('Données projet'!$B$12,Paramètres!$A$1:$I$89,3,0)*0.475*44/12</f>
        <v>3.837518820806888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25.905162209486729</v>
      </c>
      <c r="CN20" s="22">
        <f t="shared" si="12"/>
        <v>29.742681030293618</v>
      </c>
      <c r="CO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2.1</v>
      </c>
      <c r="CT20" s="12">
        <f>IF('Données projet'!$A$140&gt;35,CT19+CS20-DB19,IF(A20&lt;'Données projet'!$A$140,$CQ$205^A20,IF(A20='Données projet'!$A$140,'Données projet'!$B$140,CT19+CS20-DB19)))</f>
        <v>23.975181126327602</v>
      </c>
      <c r="CU20" s="17">
        <f>CT20*VLOOKUP('Données projet'!$B$13,Paramètres!$A$1:$I$89,3,0)*VLOOKUP('Données projet'!$B$13,Paramètres!$A$1:$I$89,5,0)</f>
        <v>21.692743883101215</v>
      </c>
      <c r="CV20" s="13">
        <f t="shared" si="41"/>
        <v>6.98746341685115</v>
      </c>
      <c r="CW20" s="20">
        <f t="shared" si="13"/>
        <v>49.951361047417038</v>
      </c>
      <c r="CX20" s="57">
        <f t="shared" si="14"/>
        <v>327.39580549186149</v>
      </c>
      <c r="CY20" s="57">
        <f ca="1">AVERAGE(OFFSET($CX$3,0,0,'Données projet'!$E$13+1,1))-AVERAGE(OFFSET($H$3,0,0,'Données projet'!$E$13+1,1))</f>
        <v>364.3481978218424</v>
      </c>
      <c r="CZ20" s="57">
        <f t="shared" si="42"/>
        <v>231.36959598460686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13.666666666666666</v>
      </c>
      <c r="DO20" s="12">
        <f>IF('Données projet'!$A$166&gt;35,DO19+DN20-DW19,IF(A20&lt;'Données projet'!$A$166,$DL$205^A20,IF(A20='Données projet'!$A$166,'Données projet'!$B$166,DO19+DN20-DW19)))</f>
        <v>211.33333333333337</v>
      </c>
      <c r="DP20" s="17">
        <f>DO20*VLOOKUP('Données projet'!$B$14,Paramètres!$A$1:$I$89,3,0)*VLOOKUP('Données projet'!$B$14,Paramètres!$A$1:$I$89,5,0)</f>
        <v>154.94960000000003</v>
      </c>
      <c r="DQ20" s="13">
        <f t="shared" si="43"/>
        <v>39.701265909428457</v>
      </c>
      <c r="DR20" s="20">
        <f t="shared" si="16"/>
        <v>339.0169247922546</v>
      </c>
      <c r="DS20" s="57">
        <f t="shared" si="17"/>
        <v>616.46136923669906</v>
      </c>
      <c r="DT20" s="57">
        <f ca="1">AVERAGE(OFFSET($DS$3,0,0,'Données projet'!$E$14+1,1))-AVERAGE(OFFSET($H$3,0,0,'Données projet'!$E$14+1,1))</f>
        <v>239.25212250019609</v>
      </c>
      <c r="DU20" s="57">
        <f t="shared" si="44"/>
        <v>213.58492101729695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1.6</v>
      </c>
      <c r="EJ20" s="12">
        <f>IF('Données projet'!$A$192&gt;35,EJ19+EI20-ER19,IF(A20&lt;'Données projet'!$A$192,$EG$205^A20,IF(A20='Données projet'!$A$192,'Données projet'!$B$192,EJ19+EI20-ER19)))</f>
        <v>19.027313840043519</v>
      </c>
      <c r="EK20" s="17">
        <f>EJ20*VLOOKUP('Données projet'!$B$15,Paramètres!$A$1:$I$89,3,0)*VLOOKUP('Données projet'!$B$15,Paramètres!$A$1:$I$89,5,0)</f>
        <v>16.325435274757343</v>
      </c>
      <c r="EL20" s="13">
        <f t="shared" si="45"/>
        <v>5.4354984361731269</v>
      </c>
      <c r="EM20" s="20">
        <f t="shared" si="19"/>
        <v>37.90029287987057</v>
      </c>
      <c r="EN20" s="57">
        <f t="shared" si="20"/>
        <v>315.34473732431502</v>
      </c>
      <c r="EO20" s="57">
        <f ca="1">AVERAGE(OFFSET($EN$3,0,0,'Données projet'!$E$15+1,1))-AVERAGE(OFFSET($H$3,0,0,'Données projet'!$E$15+1,1))</f>
        <v>447.10969593632467</v>
      </c>
      <c r="EP20" s="57">
        <f t="shared" si="46"/>
        <v>256.77417912163997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7" t="e">
        <f t="shared" si="23"/>
        <v>#N/A</v>
      </c>
      <c r="FJ20" s="57" t="e">
        <f ca="1">AVERAGE(OFFSET($FI$3,0,0,'Données projet'!$E$16+1,1))-AVERAGE(OFFSET($H$3,0,0,'Données projet'!$E$16+1,1))</f>
        <v>#N/A</v>
      </c>
      <c r="FK20" s="57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7" t="e">
        <f t="shared" si="26"/>
        <v>#N/A</v>
      </c>
      <c r="GE20" s="57" t="e">
        <f ca="1">AVERAGE(OFFSET($GD$3,0,0,'Données projet'!$E$17+1,1))-AVERAGE(OFFSET($H$3,0,0,'Données projet'!$E$17+1,1))</f>
        <v>#N/A</v>
      </c>
      <c r="GF20" s="57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7" t="e">
        <f t="shared" si="29"/>
        <v>#N/A</v>
      </c>
      <c r="GZ20" s="57" t="e">
        <f ca="1">AVERAGE(OFFSET($GY$3,0,0,'Données projet'!$E$18+1,1))-AVERAGE(OFFSET($H$3,0,0,'Données projet'!$E$18+1,1))</f>
        <v>#N/A</v>
      </c>
      <c r="HA20" s="57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0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4">
        <f t="shared" si="1"/>
        <v>256.66666666666669</v>
      </c>
      <c r="I21" s="6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7">
        <f t="shared" si="0"/>
        <v>433.29228875555856</v>
      </c>
      <c r="S21" s="57">
        <f ca="1">AVERAGE(OFFSET($R$3,0,0,'Données projet'!$E$9+1,1))-AVERAGE(OFFSET($H$3,0,0,'Données projet'!$E$9+1,1))</f>
        <v>443.34220761968419</v>
      </c>
      <c r="T21" s="57">
        <f t="shared" si="34"/>
        <v>546.58234447298014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27</v>
      </c>
      <c r="AI21" s="13">
        <f>IF('Données projet'!$A$62&gt;35,AI20+AH21-AQ20,IF(A21&lt;'Données projet'!$A$62,$AF$205^A21,IF(A21='Données projet'!$A$62,'Données projet'!$B$62,AI20+AH21-AQ20)))</f>
        <v>177</v>
      </c>
      <c r="AJ21" s="13">
        <f>AI21*VLOOKUP('Données projet'!$B$10,Paramètres!$A$1:$I$89,3,0)*VLOOKUP('Données projet'!$B$10,Paramètres!$A$1:$I$89,5,0)</f>
        <v>82.835999999999999</v>
      </c>
      <c r="AK21" s="13">
        <f t="shared" si="35"/>
        <v>22.829188748646022</v>
      </c>
      <c r="AL21" s="20">
        <f t="shared" si="4"/>
        <v>184.03353707055848</v>
      </c>
      <c r="AM21" s="57">
        <f t="shared" si="5"/>
        <v>462.70020373722514</v>
      </c>
      <c r="AN21" s="57">
        <f ca="1">AVERAGE(OFFSET($AM$3,0,0,'Données projet'!$E$10+1,1))-AVERAGE(OFFSET($H$3,0,0,'Données projet'!$E$10+1,1))</f>
        <v>524.3999528951972</v>
      </c>
      <c r="AO21" s="57">
        <f t="shared" si="36"/>
        <v>459.3547783500515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25.8</v>
      </c>
      <c r="BD21" s="12">
        <f>IF('Données projet'!$A$88&gt;35,BD20+BC21-BL20,IF(A21&lt;'Données projet'!$A$88,$BA$205^A21,IF(A21='Données projet'!$A$88,'Données projet'!$B$88,BD20+BC21-BL20)))</f>
        <v>133.4</v>
      </c>
      <c r="BE21" s="13">
        <f>BD21*VLOOKUP('Données projet'!$B$11,Paramètres!$A$1:$I$89,3,0)*VLOOKUP('Données projet'!$B$11,Paramètres!$A$1:$I$89,5,0)</f>
        <v>64.165400000000005</v>
      </c>
      <c r="BF21" s="13">
        <f t="shared" si="37"/>
        <v>18.217263719442521</v>
      </c>
      <c r="BG21" s="20">
        <f t="shared" si="7"/>
        <v>143.48313931136238</v>
      </c>
      <c r="BH21" s="57">
        <f t="shared" si="8"/>
        <v>422.14980597802906</v>
      </c>
      <c r="BI21" s="57">
        <f ca="1">AVERAGE(OFFSET($BH$3,0,0,'Données projet'!$E$11+1,1))-AVERAGE(OFFSET($H$3,0,0,'Données projet'!$E$11+1,1))</f>
        <v>495.6473104257044</v>
      </c>
      <c r="BJ21" s="57">
        <f t="shared" si="38"/>
        <v>430.92527296485201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>
        <f>VLOOKUP(A21,'Données projet'!$A$113:$I$133,2,0)</f>
        <v>151</v>
      </c>
      <c r="BW21" s="12">
        <f>VLOOKUP(A21,'Données projet'!$A$113:$I$133,9,0)</f>
        <v>18</v>
      </c>
      <c r="BX21" s="12">
        <f t="array" ref="BX21">INDEX(BW:BW,MIN(IF(ISNUMBER(BW21:BW217),ROW(BW21:BW217),"")))</f>
        <v>18</v>
      </c>
      <c r="BY21" s="12">
        <f>IF('Données projet'!$A$114&gt;35,BY20+BX21-CG20,IF(A21&lt;'Données projet'!$A$114,$BV$205^A21,IF(A21='Données projet'!$A$114,'Données projet'!$B$114,BY20+BX21-CG20)))</f>
        <v>151</v>
      </c>
      <c r="BZ21" s="13">
        <f>BY21*VLOOKUP('Données projet'!$B$12,Paramètres!$A$1:$I$89,3,0)*VLOOKUP('Données projet'!$B$12,Paramètres!$A$1:$I$89,5,0)</f>
        <v>90.298000000000016</v>
      </c>
      <c r="CA21" s="13">
        <f t="shared" si="39"/>
        <v>24.637081585210524</v>
      </c>
      <c r="CB21" s="20">
        <f t="shared" si="10"/>
        <v>200.17860042757502</v>
      </c>
      <c r="CC21" s="57">
        <f t="shared" si="11"/>
        <v>478.84526709424171</v>
      </c>
      <c r="CD21" s="57">
        <f ca="1">AVERAGE(OFFSET($CC$3,0,0,'Données projet'!$E$12+1,1))-AVERAGE(OFFSET($H$3,0,0,'Données projet'!$E$12+1,1))</f>
        <v>187.80389738728508</v>
      </c>
      <c r="CE21" s="57">
        <f t="shared" si="40"/>
        <v>439.28159165815265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3.7622674173862252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18.317715866065555</v>
      </c>
      <c r="CN21" s="22">
        <f t="shared" si="12"/>
        <v>22.079983283451782</v>
      </c>
      <c r="CO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2.1</v>
      </c>
      <c r="CT21" s="12">
        <f>IF('Données projet'!$A$140&gt;35,CT20+CS21-DB20,IF(A21&lt;'Données projet'!$A$140,$CQ$205^A21,IF(A21='Données projet'!$A$140,'Données projet'!$B$140,CT20+CS21-DB20)))</f>
        <v>28.901764726506816</v>
      </c>
      <c r="CU21" s="17">
        <f>CT21*VLOOKUP('Données projet'!$B$13,Paramètres!$A$1:$I$89,3,0)*VLOOKUP('Données projet'!$B$13,Paramètres!$A$1:$I$89,5,0)</f>
        <v>26.150316724543362</v>
      </c>
      <c r="CV21" s="13">
        <f t="shared" si="41"/>
        <v>8.2420396752158016</v>
      </c>
      <c r="CW21" s="20">
        <f t="shared" si="13"/>
        <v>59.900020729580547</v>
      </c>
      <c r="CX21" s="57">
        <f t="shared" si="14"/>
        <v>338.56668739624723</v>
      </c>
      <c r="CY21" s="57">
        <f ca="1">AVERAGE(OFFSET($CX$3,0,0,'Données projet'!$E$13+1,1))-AVERAGE(OFFSET($H$3,0,0,'Données projet'!$E$13+1,1))</f>
        <v>364.3481978218424</v>
      </c>
      <c r="CZ21" s="57">
        <f t="shared" si="42"/>
        <v>231.36959598460686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>
        <f>VLOOKUP(A21,'Données projet'!$A$165:$I$185,2,0)</f>
        <v>225</v>
      </c>
      <c r="DM21" s="12">
        <f>VLOOKUP(A21,'Données projet'!$A$165:$I$185,9,0)</f>
        <v>13.666666666666666</v>
      </c>
      <c r="DN21" s="12">
        <f t="array" ref="DN21">INDEX(DM:DM,MIN(IF(ISNUMBER(DM21:DM217),ROW(DM21:DM217),"")))</f>
        <v>13.666666666666666</v>
      </c>
      <c r="DO21" s="12">
        <f>IF('Données projet'!$A$166&gt;35,DO20+DN21-DW20,IF(A21&lt;'Données projet'!$A$166,$DL$205^A21,IF(A21='Données projet'!$A$166,'Données projet'!$B$166,DO20+DN21-DW20)))</f>
        <v>225.00000000000003</v>
      </c>
      <c r="DP21" s="17">
        <f>DO21*VLOOKUP('Données projet'!$B$14,Paramètres!$A$1:$I$89,3,0)*VLOOKUP('Données projet'!$B$14,Paramètres!$A$1:$I$89,5,0)</f>
        <v>164.97000000000003</v>
      </c>
      <c r="DQ21" s="13">
        <f t="shared" si="43"/>
        <v>41.961509246867301</v>
      </c>
      <c r="DR21" s="20">
        <f t="shared" si="16"/>
        <v>360.40571193829396</v>
      </c>
      <c r="DS21" s="57">
        <f t="shared" si="17"/>
        <v>639.0723786049607</v>
      </c>
      <c r="DT21" s="57">
        <f ca="1">AVERAGE(OFFSET($DS$3,0,0,'Données projet'!$E$14+1,1))-AVERAGE(OFFSET($H$3,0,0,'Données projet'!$E$14+1,1))</f>
        <v>239.25212250019609</v>
      </c>
      <c r="DU21" s="57">
        <f t="shared" si="44"/>
        <v>213.58492101729695</v>
      </c>
      <c r="DV21" s="15">
        <f>IF(ISNA(VLOOKUP(A21,'Données projet'!$A$165:$I$185,3,0)),0,VLOOKUP(A21,'Données projet'!$A$165:$I$185,3,0))</f>
        <v>1</v>
      </c>
      <c r="DW21" s="15">
        <f>IF(ISNA(VLOOKUP(A21,'Données projet'!$A$165:$I$185,4,0)),0,VLOOKUP(A21,'Données projet'!$A$165:$I$185,4,0))</f>
        <v>94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1.6</v>
      </c>
      <c r="EJ21" s="12">
        <f>IF('Données projet'!$A$192&gt;35,EJ20+EI21-ER20,IF(A21&lt;'Données projet'!$A$192,$EG$205^A21,IF(A21='Données projet'!$A$192,'Données projet'!$B$192,EJ20+EI21-ER20)))</f>
        <v>22.627416997969497</v>
      </c>
      <c r="EK21" s="17">
        <f>EJ21*VLOOKUP('Données projet'!$B$15,Paramètres!$A$1:$I$89,3,0)*VLOOKUP('Données projet'!$B$15,Paramètres!$A$1:$I$89,5,0)</f>
        <v>19.414323784257832</v>
      </c>
      <c r="EL21" s="13">
        <f t="shared" si="45"/>
        <v>6.3348582456241713</v>
      </c>
      <c r="EM21" s="20">
        <f t="shared" si="19"/>
        <v>44.846492035377821</v>
      </c>
      <c r="EN21" s="57">
        <f t="shared" si="20"/>
        <v>323.51315870204451</v>
      </c>
      <c r="EO21" s="57">
        <f ca="1">AVERAGE(OFFSET($EN$3,0,0,'Données projet'!$E$15+1,1))-AVERAGE(OFFSET($H$3,0,0,'Données projet'!$E$15+1,1))</f>
        <v>447.10969593632467</v>
      </c>
      <c r="EP21" s="57">
        <f t="shared" si="46"/>
        <v>256.77417912163997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7" t="e">
        <f t="shared" si="23"/>
        <v>#N/A</v>
      </c>
      <c r="FJ21" s="57" t="e">
        <f ca="1">AVERAGE(OFFSET($FI$3,0,0,'Données projet'!$E$16+1,1))-AVERAGE(OFFSET($H$3,0,0,'Données projet'!$E$16+1,1))</f>
        <v>#N/A</v>
      </c>
      <c r="FK21" s="57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7" t="e">
        <f t="shared" si="26"/>
        <v>#N/A</v>
      </c>
      <c r="GE21" s="57" t="e">
        <f ca="1">AVERAGE(OFFSET($GD$3,0,0,'Données projet'!$E$17+1,1))-AVERAGE(OFFSET($H$3,0,0,'Données projet'!$E$17+1,1))</f>
        <v>#N/A</v>
      </c>
      <c r="GF21" s="57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7" t="e">
        <f t="shared" si="29"/>
        <v>#N/A</v>
      </c>
      <c r="GZ21" s="57" t="e">
        <f ca="1">AVERAGE(OFFSET($GY$3,0,0,'Données projet'!$E$18+1,1))-AVERAGE(OFFSET($H$3,0,0,'Données projet'!$E$18+1,1))</f>
        <v>#N/A</v>
      </c>
      <c r="HA21" s="57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0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4">
        <f t="shared" si="1"/>
        <v>256.66666666666669</v>
      </c>
      <c r="I22" s="6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7">
        <f t="shared" si="0"/>
        <v>480.62947485620896</v>
      </c>
      <c r="S22" s="57">
        <f ca="1">AVERAGE(OFFSET($R$3,0,0,'Données projet'!$E$9+1,1))-AVERAGE(OFFSET($H$3,0,0,'Données projet'!$E$9+1,1))</f>
        <v>443.34220761968419</v>
      </c>
      <c r="T22" s="57">
        <f t="shared" si="34"/>
        <v>546.58234447298014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27</v>
      </c>
      <c r="AI22" s="13">
        <f>IF('Données projet'!$A$62&gt;35,AI21+AH22-AQ21,IF(A22&lt;'Données projet'!$A$62,$AF$205^A22,IF(A22='Données projet'!$A$62,'Données projet'!$B$62,AI21+AH22-AQ21)))</f>
        <v>204</v>
      </c>
      <c r="AJ22" s="13">
        <f>AI22*VLOOKUP('Données projet'!$B$10,Paramètres!$A$1:$I$89,3,0)*VLOOKUP('Données projet'!$B$10,Paramètres!$A$1:$I$89,5,0)</f>
        <v>95.471999999999994</v>
      </c>
      <c r="AK22" s="13">
        <f t="shared" si="35"/>
        <v>25.880372123231169</v>
      </c>
      <c r="AL22" s="20">
        <f t="shared" si="4"/>
        <v>211.35538144796092</v>
      </c>
      <c r="AM22" s="57">
        <f t="shared" si="5"/>
        <v>491.24427033684981</v>
      </c>
      <c r="AN22" s="57">
        <f ca="1">AVERAGE(OFFSET($AM$3,0,0,'Données projet'!$E$10+1,1))-AVERAGE(OFFSET($H$3,0,0,'Données projet'!$E$10+1,1))</f>
        <v>524.3999528951972</v>
      </c>
      <c r="AO22" s="57">
        <f t="shared" si="36"/>
        <v>459.3547783500515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25.8</v>
      </c>
      <c r="BD22" s="12">
        <f>IF('Données projet'!$A$88&gt;35,BD21+BC22-BL21,IF(A22&lt;'Données projet'!$A$88,$BA$205^A22,IF(A22='Données projet'!$A$88,'Données projet'!$B$88,BD21+BC22-BL21)))</f>
        <v>159.20000000000002</v>
      </c>
      <c r="BE22" s="13">
        <f>BD22*VLOOKUP('Données projet'!$B$11,Paramètres!$A$1:$I$89,3,0)*VLOOKUP('Données projet'!$B$11,Paramètres!$A$1:$I$89,5,0)</f>
        <v>76.575200000000009</v>
      </c>
      <c r="BF22" s="13">
        <f t="shared" si="37"/>
        <v>21.297682341612077</v>
      </c>
      <c r="BG22" s="20">
        <f t="shared" si="7"/>
        <v>170.46193674497437</v>
      </c>
      <c r="BH22" s="57">
        <f t="shared" si="8"/>
        <v>450.35082563386322</v>
      </c>
      <c r="BI22" s="57">
        <f ca="1">AVERAGE(OFFSET($BH$3,0,0,'Données projet'!$E$11+1,1))-AVERAGE(OFFSET($H$3,0,0,'Données projet'!$E$11+1,1))</f>
        <v>495.6473104257044</v>
      </c>
      <c r="BJ22" s="57">
        <f t="shared" si="38"/>
        <v>430.92527296485201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>
        <f>VLOOKUP(A22,'Données projet'!$A$113:$I$133,2,0)</f>
        <v>171</v>
      </c>
      <c r="BW22" s="12">
        <f>VLOOKUP(A22,'Données projet'!$A$113:$I$133,9,0)</f>
        <v>20</v>
      </c>
      <c r="BX22" s="12">
        <f t="array" ref="BX22">INDEX(BW:BW,MIN(IF(ISNUMBER(BW22:BW218),ROW(BW22:BW218),"")))</f>
        <v>20</v>
      </c>
      <c r="BY22" s="12">
        <f>IF('Données projet'!$A$114&gt;35,BY21+BX22-CG21,IF(A22&lt;'Données projet'!$A$114,$BV$205^A22,IF(A22='Données projet'!$A$114,'Données projet'!$B$114,BY21+BX22-CG21)))</f>
        <v>171</v>
      </c>
      <c r="BZ22" s="13">
        <f>BY22*VLOOKUP('Données projet'!$B$12,Paramètres!$A$1:$I$89,3,0)*VLOOKUP('Données projet'!$B$12,Paramètres!$A$1:$I$89,5,0)</f>
        <v>102.258</v>
      </c>
      <c r="CA22" s="13">
        <f t="shared" si="39"/>
        <v>27.499233847895859</v>
      </c>
      <c r="CB22" s="20">
        <f t="shared" si="10"/>
        <v>225.99384895175194</v>
      </c>
      <c r="CC22" s="57">
        <f t="shared" si="11"/>
        <v>505.8827378406408</v>
      </c>
      <c r="CD22" s="57">
        <f ca="1">AVERAGE(OFFSET($CC$3,0,0,'Données projet'!$E$12+1,1))-AVERAGE(OFFSET($H$3,0,0,'Données projet'!$E$12+1,1))</f>
        <v>187.80389738728508</v>
      </c>
      <c r="CE22" s="57">
        <f t="shared" si="40"/>
        <v>439.28159165815265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3.6884916480878176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12.952581104743366</v>
      </c>
      <c r="CN22" s="22">
        <f t="shared" si="12"/>
        <v>16.641072752831185</v>
      </c>
      <c r="CO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2.1</v>
      </c>
      <c r="CT22" s="12">
        <f>IF('Données projet'!$A$140&gt;35,CT21+CS22-DB21,IF(A22&lt;'Données projet'!$A$140,$CQ$205^A22,IF(A22='Données projet'!$A$140,'Données projet'!$B$140,CT21+CS22-DB21)))</f>
        <v>34.840696297767764</v>
      </c>
      <c r="CU22" s="17">
        <f>CT22*VLOOKUP('Données projet'!$B$13,Paramètres!$A$1:$I$89,3,0)*VLOOKUP('Données projet'!$B$13,Paramètres!$A$1:$I$89,5,0)</f>
        <v>31.52386201022027</v>
      </c>
      <c r="CV22" s="13">
        <f t="shared" si="41"/>
        <v>9.7218710074397983</v>
      </c>
      <c r="CW22" s="20">
        <f t="shared" si="13"/>
        <v>71.836318339091292</v>
      </c>
      <c r="CX22" s="57">
        <f t="shared" si="14"/>
        <v>351.72520722798015</v>
      </c>
      <c r="CY22" s="57">
        <f ca="1">AVERAGE(OFFSET($CX$3,0,0,'Données projet'!$E$13+1,1))-AVERAGE(OFFSET($H$3,0,0,'Données projet'!$E$13+1,1))</f>
        <v>364.3481978218424</v>
      </c>
      <c r="CZ22" s="57">
        <f t="shared" si="42"/>
        <v>231.36959598460686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</v>
      </c>
      <c r="DO22" s="12">
        <f>IF('Données projet'!$A$166&gt;35,DO21+DN22-DW21,IF(A22&lt;'Données projet'!$A$166,$DL$205^A22,IF(A22='Données projet'!$A$166,'Données projet'!$B$166,DO21+DN22-DW21)))</f>
        <v>136.00000000000003</v>
      </c>
      <c r="DP22" s="17">
        <f>DO22*VLOOKUP('Données projet'!$B$14,Paramètres!$A$1:$I$89,3,0)*VLOOKUP('Données projet'!$B$14,Paramètres!$A$1:$I$89,5,0)</f>
        <v>99.71520000000001</v>
      </c>
      <c r="DQ22" s="13">
        <f t="shared" si="43"/>
        <v>26.894136617382181</v>
      </c>
      <c r="DR22" s="20">
        <f t="shared" si="16"/>
        <v>220.51126127527394</v>
      </c>
      <c r="DS22" s="57">
        <f t="shared" si="17"/>
        <v>500.40015016416282</v>
      </c>
      <c r="DT22" s="57">
        <f ca="1">AVERAGE(OFFSET($DS$3,0,0,'Données projet'!$E$14+1,1))-AVERAGE(OFFSET($H$3,0,0,'Données projet'!$E$14+1,1))</f>
        <v>239.25212250019609</v>
      </c>
      <c r="DU22" s="57">
        <f t="shared" si="44"/>
        <v>213.58492101729695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1.6</v>
      </c>
      <c r="EJ22" s="12">
        <f>IF('Données projet'!$A$192&gt;35,EJ21+EI22-ER21,IF(A22&lt;'Données projet'!$A$192,$EG$205^A22,IF(A22='Données projet'!$A$192,'Données projet'!$B$192,EJ21+EI22-ER21)))</f>
        <v>26.908685288118836</v>
      </c>
      <c r="EK22" s="17">
        <f>EJ22*VLOOKUP('Données projet'!$B$15,Paramètres!$A$1:$I$89,3,0)*VLOOKUP('Données projet'!$B$15,Paramètres!$A$1:$I$89,5,0)</f>
        <v>23.087651977205965</v>
      </c>
      <c r="EL22" s="13">
        <f t="shared" si="45"/>
        <v>7.3830264994807839</v>
      </c>
      <c r="EM22" s="20">
        <f t="shared" si="19"/>
        <v>53.069765013562751</v>
      </c>
      <c r="EN22" s="57">
        <f t="shared" si="20"/>
        <v>332.9586539024516</v>
      </c>
      <c r="EO22" s="57">
        <f ca="1">AVERAGE(OFFSET($EN$3,0,0,'Données projet'!$E$15+1,1))-AVERAGE(OFFSET($H$3,0,0,'Données projet'!$E$15+1,1))</f>
        <v>447.10969593632467</v>
      </c>
      <c r="EP22" s="57">
        <f t="shared" si="46"/>
        <v>256.77417912163997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7" t="e">
        <f t="shared" si="23"/>
        <v>#N/A</v>
      </c>
      <c r="FJ22" s="57" t="e">
        <f ca="1">AVERAGE(OFFSET($FI$3,0,0,'Données projet'!$E$16+1,1))-AVERAGE(OFFSET($H$3,0,0,'Données projet'!$E$16+1,1))</f>
        <v>#N/A</v>
      </c>
      <c r="FK22" s="57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7" t="e">
        <f t="shared" si="26"/>
        <v>#N/A</v>
      </c>
      <c r="GE22" s="57" t="e">
        <f ca="1">AVERAGE(OFFSET($GD$3,0,0,'Données projet'!$E$17+1,1))-AVERAGE(OFFSET($H$3,0,0,'Données projet'!$E$17+1,1))</f>
        <v>#N/A</v>
      </c>
      <c r="GF22" s="57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7" t="e">
        <f t="shared" si="29"/>
        <v>#N/A</v>
      </c>
      <c r="GZ22" s="57" t="e">
        <f ca="1">AVERAGE(OFFSET($GY$3,0,0,'Données projet'!$E$18+1,1))-AVERAGE(OFFSET($H$3,0,0,'Données projet'!$E$18+1,1))</f>
        <v>#N/A</v>
      </c>
      <c r="HA22" s="57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0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4">
        <f t="shared" si="1"/>
        <v>256.66666666666669</v>
      </c>
      <c r="I23" s="6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7">
        <f t="shared" si="0"/>
        <v>516.62315313877355</v>
      </c>
      <c r="S23" s="57">
        <f ca="1">AVERAGE(OFFSET($R$3,0,0,'Données projet'!$E$9+1,1))-AVERAGE(OFFSET($H$3,0,0,'Données projet'!$E$9+1,1))</f>
        <v>443.34220761968419</v>
      </c>
      <c r="T23" s="57">
        <f t="shared" si="34"/>
        <v>546.58234447298014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231</v>
      </c>
      <c r="AG23" s="12">
        <f>VLOOKUP(A23,'Données projet'!$A$61:$I$81,9,0)</f>
        <v>27</v>
      </c>
      <c r="AH23" s="12">
        <f t="array" ref="AH23">INDEX(AG:AG,MIN(IF(ISNUMBER(AG23:AG219),ROW(AG23:AG219),"")))</f>
        <v>27</v>
      </c>
      <c r="AI23" s="13">
        <f>IF('Données projet'!$A$62&gt;35,AI22+AH23-AQ22,IF(A23&lt;'Données projet'!$A$62,$AF$205^A23,IF(A23='Données projet'!$A$62,'Données projet'!$B$62,AI22+AH23-AQ22)))</f>
        <v>231</v>
      </c>
      <c r="AJ23" s="13">
        <f>AI23*VLOOKUP('Données projet'!$B$10,Paramètres!$A$1:$I$89,3,0)*VLOOKUP('Données projet'!$B$10,Paramètres!$A$1:$I$89,5,0)</f>
        <v>108.108</v>
      </c>
      <c r="AK23" s="13">
        <f t="shared" si="35"/>
        <v>28.884765499467161</v>
      </c>
      <c r="AL23" s="20">
        <f t="shared" si="4"/>
        <v>238.59573324490532</v>
      </c>
      <c r="AM23" s="57">
        <f t="shared" si="5"/>
        <v>519.70684435601652</v>
      </c>
      <c r="AN23" s="57">
        <f ca="1">AVERAGE(OFFSET($AM$3,0,0,'Données projet'!$E$10+1,1))-AVERAGE(OFFSET($H$3,0,0,'Données projet'!$E$10+1,1))</f>
        <v>524.3999528951972</v>
      </c>
      <c r="AO23" s="57">
        <f t="shared" si="36"/>
        <v>459.3547783500515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72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1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38.151699497451787</v>
      </c>
      <c r="AX23" s="21">
        <f t="shared" si="6"/>
        <v>38.151699497451787</v>
      </c>
      <c r="AY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185</v>
      </c>
      <c r="BB23" s="12">
        <f>VLOOKUP(A23,'Données projet'!$A$87:$I$107,9,0)</f>
        <v>25.8</v>
      </c>
      <c r="BC23" s="12">
        <f t="array" ref="BC23">INDEX(BB:BB,MIN(IF(ISNUMBER(BB23:BB219),ROW(BB23:BB219),"")))</f>
        <v>25.8</v>
      </c>
      <c r="BD23" s="12">
        <f>IF('Données projet'!$A$88&gt;35,BD22+BC23-BL22,IF(A23&lt;'Données projet'!$A$88,$BA$205^A23,IF(A23='Données projet'!$A$88,'Données projet'!$B$88,BD22+BC23-BL22)))</f>
        <v>185.00000000000003</v>
      </c>
      <c r="BE23" s="13">
        <f>BD23*VLOOKUP('Données projet'!$B$11,Paramètres!$A$1:$I$89,3,0)*VLOOKUP('Données projet'!$B$11,Paramètres!$A$1:$I$89,5,0)</f>
        <v>88.985000000000014</v>
      </c>
      <c r="BF23" s="13">
        <f t="shared" si="37"/>
        <v>24.320270082348873</v>
      </c>
      <c r="BG23" s="20">
        <f t="shared" si="7"/>
        <v>197.34001206009097</v>
      </c>
      <c r="BH23" s="57">
        <f t="shared" si="8"/>
        <v>478.45112317120208</v>
      </c>
      <c r="BI23" s="57">
        <f ca="1">AVERAGE(OFFSET($BH$3,0,0,'Données projet'!$E$11+1,1))-AVERAGE(OFFSET($H$3,0,0,'Données projet'!$E$11+1,1))</f>
        <v>495.6473104257044</v>
      </c>
      <c r="BJ23" s="57">
        <f t="shared" si="38"/>
        <v>430.92527296485201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43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1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23.417960609739893</v>
      </c>
      <c r="BS23" s="22">
        <f t="shared" si="9"/>
        <v>23.417960609739893</v>
      </c>
      <c r="BT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192</v>
      </c>
      <c r="BW23" s="12">
        <f>VLOOKUP(A23,'Données projet'!$A$113:$I$133,9,0)</f>
        <v>21</v>
      </c>
      <c r="BX23" s="12">
        <f t="array" ref="BX23">INDEX(BW:BW,MIN(IF(ISNUMBER(BW23:BW219),ROW(BW23:BW219),"")))</f>
        <v>21</v>
      </c>
      <c r="BY23" s="12">
        <f>IF('Données projet'!$A$114&gt;35,BY22+BX23-CG22,IF(A23&lt;'Données projet'!$A$114,$BV$205^A23,IF(A23='Données projet'!$A$114,'Données projet'!$B$114,BY22+BX23-CG22)))</f>
        <v>192</v>
      </c>
      <c r="BZ23" s="13">
        <f>BY23*VLOOKUP('Données projet'!$B$12,Paramètres!$A$1:$I$89,3,0)*VLOOKUP('Données projet'!$B$12,Paramètres!$A$1:$I$89,5,0)</f>
        <v>114.81600000000002</v>
      </c>
      <c r="CA23" s="13">
        <f t="shared" si="39"/>
        <v>30.462826482209831</v>
      </c>
      <c r="CB23" s="20">
        <f t="shared" si="10"/>
        <v>253.02728945651543</v>
      </c>
      <c r="CC23" s="57">
        <f t="shared" si="11"/>
        <v>534.1384005676266</v>
      </c>
      <c r="CD23" s="57">
        <f ca="1">AVERAGE(OFFSET($CC$3,0,0,'Données projet'!$E$12+1,1))-AVERAGE(OFFSET($H$3,0,0,'Données projet'!$E$12+1,1))</f>
        <v>187.80389738728508</v>
      </c>
      <c r="CE23" s="57">
        <f t="shared" si="40"/>
        <v>439.28159165815265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3.6161625766265759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9.1588579330327775</v>
      </c>
      <c r="CN23" s="22">
        <f t="shared" si="12"/>
        <v>12.775020509659353</v>
      </c>
      <c r="CO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42</v>
      </c>
      <c r="CR23" s="12">
        <f>VLOOKUP(A23,'Données projet'!$A$139:$I$159,9,0)</f>
        <v>2.1</v>
      </c>
      <c r="CS23" s="12">
        <f t="array" ref="CS23">INDEX(CR:CR,MIN(IF(ISNUMBER(CR23:CR219),ROW(CR23:CR219),"")))</f>
        <v>2.1</v>
      </c>
      <c r="CT23" s="12">
        <f>IF('Données projet'!$A$140&gt;35,CT22+CS23-DB22,IF(A23&lt;'Données projet'!$A$140,$CQ$205^A23,IF(A23='Données projet'!$A$140,'Données projet'!$B$140,CT22+CS23-DB22)))</f>
        <v>42</v>
      </c>
      <c r="CU23" s="17">
        <f>CT23*VLOOKUP('Données projet'!$B$13,Paramètres!$A$1:$I$89,3,0)*VLOOKUP('Données projet'!$B$13,Paramètres!$A$1:$I$89,5,0)</f>
        <v>38.001600000000003</v>
      </c>
      <c r="CV23" s="13">
        <f t="shared" si="41"/>
        <v>11.467401227090512</v>
      </c>
      <c r="CW23" s="20">
        <f t="shared" si="13"/>
        <v>86.158510470515978</v>
      </c>
      <c r="CX23" s="57">
        <f t="shared" si="14"/>
        <v>367.26962158162712</v>
      </c>
      <c r="CY23" s="57">
        <f ca="1">AVERAGE(OFFSET($CX$3,0,0,'Données projet'!$E$13+1,1))-AVERAGE(OFFSET($H$3,0,0,'Données projet'!$E$13+1,1))</f>
        <v>364.3481978218424</v>
      </c>
      <c r="CZ23" s="57">
        <f t="shared" si="42"/>
        <v>231.36959598460686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5</v>
      </c>
      <c r="DO23" s="12">
        <f>IF('Données projet'!$A$166&gt;35,DO22+DN23-DW22,IF(A23&lt;'Données projet'!$A$166,$DL$205^A23,IF(A23='Données projet'!$A$166,'Données projet'!$B$166,DO22+DN23-DW22)))</f>
        <v>141.00000000000003</v>
      </c>
      <c r="DP23" s="17">
        <f>DO23*VLOOKUP('Données projet'!$B$14,Paramètres!$A$1:$I$89,3,0)*VLOOKUP('Données projet'!$B$14,Paramètres!$A$1:$I$89,5,0)</f>
        <v>103.38120000000002</v>
      </c>
      <c r="DQ23" s="13">
        <f t="shared" si="43"/>
        <v>27.765956260923325</v>
      </c>
      <c r="DR23" s="20">
        <f t="shared" si="16"/>
        <v>228.41463048777482</v>
      </c>
      <c r="DS23" s="57">
        <f t="shared" si="17"/>
        <v>509.52574159888593</v>
      </c>
      <c r="DT23" s="57">
        <f ca="1">AVERAGE(OFFSET($DS$3,0,0,'Données projet'!$E$14+1,1))-AVERAGE(OFFSET($H$3,0,0,'Données projet'!$E$14+1,1))</f>
        <v>239.25212250019609</v>
      </c>
      <c r="DU23" s="57">
        <f t="shared" si="44"/>
        <v>213.58492101729695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32</v>
      </c>
      <c r="EH23" s="12">
        <f>VLOOKUP(A23,'Données projet'!$A$191:$I$211,9,0)</f>
        <v>1.6</v>
      </c>
      <c r="EI23" s="12">
        <f t="array" ref="EI23">INDEX(EH:EH,MIN(IF(ISNUMBER(EH23:EH219),ROW(EH23:EH219),"")))</f>
        <v>1.6</v>
      </c>
      <c r="EJ23" s="12">
        <f>IF('Données projet'!$A$192&gt;35,EJ22+EI23-ER22,IF(A23&lt;'Données projet'!$A$192,$EG$205^A23,IF(A23='Données projet'!$A$192,'Données projet'!$B$192,EJ22+EI23-ER22)))</f>
        <v>32</v>
      </c>
      <c r="EK23" s="17">
        <f>EJ23*VLOOKUP('Données projet'!$B$15,Paramètres!$A$1:$I$89,3,0)*VLOOKUP('Données projet'!$B$15,Paramètres!$A$1:$I$89,5,0)</f>
        <v>27.456000000000003</v>
      </c>
      <c r="EL23" s="13">
        <f t="shared" si="45"/>
        <v>8.604625104229898</v>
      </c>
      <c r="EM23" s="20">
        <f t="shared" si="19"/>
        <v>62.805588723200408</v>
      </c>
      <c r="EN23" s="57">
        <f t="shared" si="20"/>
        <v>343.91669983431154</v>
      </c>
      <c r="EO23" s="57">
        <f ca="1">AVERAGE(OFFSET($EN$3,0,0,'Données projet'!$E$15+1,1))-AVERAGE(OFFSET($H$3,0,0,'Données projet'!$E$15+1,1))</f>
        <v>447.10969593632467</v>
      </c>
      <c r="EP23" s="57">
        <f t="shared" si="46"/>
        <v>256.77417912163997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7" t="e">
        <f t="shared" si="23"/>
        <v>#N/A</v>
      </c>
      <c r="FJ23" s="57" t="e">
        <f ca="1">AVERAGE(OFFSET($FI$3,0,0,'Données projet'!$E$16+1,1))-AVERAGE(OFFSET($H$3,0,0,'Données projet'!$E$16+1,1))</f>
        <v>#N/A</v>
      </c>
      <c r="FK23" s="57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7" t="e">
        <f t="shared" si="26"/>
        <v>#N/A</v>
      </c>
      <c r="GE23" s="57" t="e">
        <f ca="1">AVERAGE(OFFSET($GD$3,0,0,'Données projet'!$E$17+1,1))-AVERAGE(OFFSET($H$3,0,0,'Données projet'!$E$17+1,1))</f>
        <v>#N/A</v>
      </c>
      <c r="GF23" s="57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7" t="e">
        <f t="shared" si="29"/>
        <v>#N/A</v>
      </c>
      <c r="GZ23" s="57" t="e">
        <f ca="1">AVERAGE(OFFSET($GY$3,0,0,'Données projet'!$E$18+1,1))-AVERAGE(OFFSET($H$3,0,0,'Données projet'!$E$18+1,1))</f>
        <v>#N/A</v>
      </c>
      <c r="HA23" s="57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0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4">
        <f t="shared" si="1"/>
        <v>256.66666666666669</v>
      </c>
      <c r="I24" s="6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7">
        <f t="shared" si="0"/>
        <v>552.4995651481911</v>
      </c>
      <c r="S24" s="57">
        <f ca="1">AVERAGE(OFFSET($R$3,0,0,'Données projet'!$E$9+1,1))-AVERAGE(OFFSET($H$3,0,0,'Données projet'!$E$9+1,1))</f>
        <v>443.34220761968419</v>
      </c>
      <c r="T24" s="57">
        <f t="shared" si="34"/>
        <v>546.58234447298014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33.200000000000003</v>
      </c>
      <c r="AI24" s="13">
        <f>IF('Données projet'!$A$62&gt;35,AI23+AH24-AQ23,IF(A24&lt;'Données projet'!$A$62,$AF$205^A24,IF(A24='Données projet'!$A$62,'Données projet'!$B$62,AI23+AH24-AQ23)))</f>
        <v>192.2</v>
      </c>
      <c r="AJ24" s="13">
        <f>AI24*VLOOKUP('Données projet'!$B$10,Paramètres!$A$1:$I$89,3,0)*VLOOKUP('Données projet'!$B$10,Paramètres!$A$1:$I$89,5,0)</f>
        <v>89.94959999999999</v>
      </c>
      <c r="AK24" s="13">
        <f t="shared" si="35"/>
        <v>24.553069331291823</v>
      </c>
      <c r="AL24" s="20">
        <f t="shared" si="4"/>
        <v>199.42548241866655</v>
      </c>
      <c r="AM24" s="57">
        <f t="shared" si="5"/>
        <v>481.75881575199986</v>
      </c>
      <c r="AN24" s="57">
        <f ca="1">AVERAGE(OFFSET($AM$3,0,0,'Données projet'!$E$10+1,1))-AVERAGE(OFFSET($H$3,0,0,'Données projet'!$E$10+1,1))</f>
        <v>524.3999528951972</v>
      </c>
      <c r="AO24" s="57">
        <f t="shared" si="36"/>
        <v>459.3547783500515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26.977325428439556</v>
      </c>
      <c r="AX24" s="21">
        <f t="shared" si="6"/>
        <v>26.977325428439556</v>
      </c>
      <c r="AY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30.4</v>
      </c>
      <c r="BD24" s="12">
        <f>IF('Données projet'!$A$88&gt;35,BD23+BC24-BL23,IF(A24&lt;'Données projet'!$A$88,$BA$205^A24,IF(A24='Données projet'!$A$88,'Données projet'!$B$88,BD23+BC24-BL23)))</f>
        <v>172.40000000000003</v>
      </c>
      <c r="BE24" s="13">
        <f>BD24*VLOOKUP('Données projet'!$B$11,Paramètres!$A$1:$I$89,3,0)*VLOOKUP('Données projet'!$B$11,Paramètres!$A$1:$I$89,5,0)</f>
        <v>82.92440000000002</v>
      </c>
      <c r="BF24" s="13">
        <f t="shared" si="37"/>
        <v>22.850714205009858</v>
      </c>
      <c r="BG24" s="20">
        <f t="shared" si="7"/>
        <v>184.22499057372553</v>
      </c>
      <c r="BH24" s="57">
        <f t="shared" si="8"/>
        <v>466.55832390705882</v>
      </c>
      <c r="BI24" s="57">
        <f ca="1">AVERAGE(OFFSET($BH$3,0,0,'Données projet'!$E$11+1,1))-AVERAGE(OFFSET($H$3,0,0,'Données projet'!$E$11+1,1))</f>
        <v>495.6473104257044</v>
      </c>
      <c r="BJ24" s="57">
        <f t="shared" si="38"/>
        <v>430.92527296485201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16.558998748706536</v>
      </c>
      <c r="BS24" s="22">
        <f t="shared" si="9"/>
        <v>16.558998748706536</v>
      </c>
      <c r="BT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>
        <f>VLOOKUP(A24,'Données projet'!$A$113:$I$133,2,0)</f>
        <v>212</v>
      </c>
      <c r="BW24" s="12">
        <f>VLOOKUP(A24,'Données projet'!$A$113:$I$133,9,0)</f>
        <v>20</v>
      </c>
      <c r="BX24" s="12">
        <f t="array" ref="BX24">INDEX(BW:BW,MIN(IF(ISNUMBER(BW24:BW220),ROW(BW24:BW220),"")))</f>
        <v>20</v>
      </c>
      <c r="BY24" s="12">
        <f>IF('Données projet'!$A$114&gt;35,BY23+BX24-CG23,IF(A24&lt;'Données projet'!$A$114,$BV$205^A24,IF(A24='Données projet'!$A$114,'Données projet'!$B$114,BY23+BX24-CG23)))</f>
        <v>212</v>
      </c>
      <c r="BZ24" s="13">
        <f>BY24*VLOOKUP('Données projet'!$B$12,Paramètres!$A$1:$I$89,3,0)*VLOOKUP('Données projet'!$B$12,Paramètres!$A$1:$I$89,5,0)</f>
        <v>126.77600000000002</v>
      </c>
      <c r="CA24" s="13">
        <f t="shared" si="39"/>
        <v>33.250302273150254</v>
      </c>
      <c r="CB24" s="20">
        <f t="shared" si="10"/>
        <v>278.7124764590701</v>
      </c>
      <c r="CC24" s="57">
        <f t="shared" si="11"/>
        <v>561.04580979240336</v>
      </c>
      <c r="CD24" s="57">
        <f ca="1">AVERAGE(OFFSET($CC$3,0,0,'Données projet'!$E$12+1,1))-AVERAGE(OFFSET($H$3,0,0,'Données projet'!$E$12+1,1))</f>
        <v>187.80389738728508</v>
      </c>
      <c r="CE24" s="57">
        <f t="shared" si="40"/>
        <v>439.28159165815265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3.5452518341403114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6.4762905523716832</v>
      </c>
      <c r="CN24" s="22">
        <f t="shared" si="12"/>
        <v>10.021542386511994</v>
      </c>
      <c r="CO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5.6</v>
      </c>
      <c r="CT24" s="12">
        <f>IF('Données projet'!$A$140&gt;35,CT23+CS24-DB23,IF(A24&lt;'Données projet'!$A$140,$CQ$205^A24,IF(A24='Données projet'!$A$140,'Données projet'!$B$140,CT23+CS24-DB23)))</f>
        <v>47.6</v>
      </c>
      <c r="CU24" s="17">
        <f>CT24*VLOOKUP('Données projet'!$B$13,Paramètres!$A$1:$I$89,3,0)*VLOOKUP('Données projet'!$B$13,Paramètres!$A$1:$I$89,5,0)</f>
        <v>43.068480000000001</v>
      </c>
      <c r="CV24" s="13">
        <f t="shared" si="41"/>
        <v>12.808416415102187</v>
      </c>
      <c r="CW24" s="20">
        <f t="shared" si="13"/>
        <v>97.318927922969635</v>
      </c>
      <c r="CX24" s="57">
        <f t="shared" si="14"/>
        <v>379.65226125630295</v>
      </c>
      <c r="CY24" s="57">
        <f ca="1">AVERAGE(OFFSET($CX$3,0,0,'Données projet'!$E$13+1,1))-AVERAGE(OFFSET($H$3,0,0,'Données projet'!$E$13+1,1))</f>
        <v>364.3481978218424</v>
      </c>
      <c r="CZ24" s="57">
        <f t="shared" si="42"/>
        <v>231.36959598460686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</v>
      </c>
      <c r="DO24" s="12">
        <f>IF('Données projet'!$A$166&gt;35,DO23+DN24-DW23,IF(A24&lt;'Données projet'!$A$166,$DL$205^A24,IF(A24='Données projet'!$A$166,'Données projet'!$B$166,DO23+DN24-DW23)))</f>
        <v>146.00000000000003</v>
      </c>
      <c r="DP24" s="17">
        <f>DO24*VLOOKUP('Données projet'!$B$14,Paramètres!$A$1:$I$89,3,0)*VLOOKUP('Données projet'!$B$14,Paramètres!$A$1:$I$89,5,0)</f>
        <v>107.0472</v>
      </c>
      <c r="DQ24" s="13">
        <f t="shared" si="43"/>
        <v>28.634183951187907</v>
      </c>
      <c r="DR24" s="20">
        <f t="shared" si="16"/>
        <v>236.3117437149856</v>
      </c>
      <c r="DS24" s="57">
        <f t="shared" si="17"/>
        <v>518.64507704831885</v>
      </c>
      <c r="DT24" s="57">
        <f ca="1">AVERAGE(OFFSET($DS$3,0,0,'Données projet'!$E$14+1,1))-AVERAGE(OFFSET($H$3,0,0,'Données projet'!$E$14+1,1))</f>
        <v>239.25212250019609</v>
      </c>
      <c r="DU24" s="57">
        <f t="shared" si="44"/>
        <v>213.58492101729695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8.8000000000000007</v>
      </c>
      <c r="EJ24" s="12">
        <f>IF('Données projet'!$A$192&gt;35,EJ23+EI24-ER23,IF(A24&lt;'Données projet'!$A$192,$EG$205^A24,IF(A24='Données projet'!$A$192,'Données projet'!$B$192,EJ23+EI24-ER23)))</f>
        <v>40.799999999999997</v>
      </c>
      <c r="EK24" s="17">
        <f>EJ24*VLOOKUP('Données projet'!$B$15,Paramètres!$A$1:$I$89,3,0)*VLOOKUP('Données projet'!$B$15,Paramètres!$A$1:$I$89,5,0)</f>
        <v>35.006400000000006</v>
      </c>
      <c r="EL24" s="13">
        <f t="shared" si="45"/>
        <v>10.664997365847841</v>
      </c>
      <c r="EM24" s="20">
        <f t="shared" si="19"/>
        <v>79.544350412184983</v>
      </c>
      <c r="EN24" s="57">
        <f t="shared" si="20"/>
        <v>361.87768374551831</v>
      </c>
      <c r="EO24" s="57">
        <f ca="1">AVERAGE(OFFSET($EN$3,0,0,'Données projet'!$E$15+1,1))-AVERAGE(OFFSET($H$3,0,0,'Données projet'!$E$15+1,1))</f>
        <v>447.10969593632467</v>
      </c>
      <c r="EP24" s="57">
        <f t="shared" si="46"/>
        <v>256.77417912163997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7" t="e">
        <f t="shared" si="23"/>
        <v>#N/A</v>
      </c>
      <c r="FJ24" s="57" t="e">
        <f ca="1">AVERAGE(OFFSET($FI$3,0,0,'Données projet'!$E$16+1,1))-AVERAGE(OFFSET($H$3,0,0,'Données projet'!$E$16+1,1))</f>
        <v>#N/A</v>
      </c>
      <c r="FK24" s="57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7" t="e">
        <f t="shared" si="26"/>
        <v>#N/A</v>
      </c>
      <c r="GE24" s="57" t="e">
        <f ca="1">AVERAGE(OFFSET($GD$3,0,0,'Données projet'!$E$17+1,1))-AVERAGE(OFFSET($H$3,0,0,'Données projet'!$E$17+1,1))</f>
        <v>#N/A</v>
      </c>
      <c r="GF24" s="57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7" t="e">
        <f t="shared" si="29"/>
        <v>#N/A</v>
      </c>
      <c r="GZ24" s="57" t="e">
        <f ca="1">AVERAGE(OFFSET($GY$3,0,0,'Données projet'!$E$18+1,1))-AVERAGE(OFFSET($H$3,0,0,'Données projet'!$E$18+1,1))</f>
        <v>#N/A</v>
      </c>
      <c r="HA24" s="57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0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4">
        <f t="shared" si="1"/>
        <v>256.66666666666669</v>
      </c>
      <c r="I25" s="6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7">
        <f t="shared" si="0"/>
        <v>588.27587008503042</v>
      </c>
      <c r="S25" s="57">
        <f ca="1">AVERAGE(OFFSET($R$3,0,0,'Données projet'!$E$9+1,1))-AVERAGE(OFFSET($H$3,0,0,'Données projet'!$E$9+1,1))</f>
        <v>443.34220761968419</v>
      </c>
      <c r="T25" s="57">
        <f t="shared" si="34"/>
        <v>546.58234447298014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33.200000000000003</v>
      </c>
      <c r="AI25" s="13">
        <f>IF('Données projet'!$A$62&gt;35,AI24+AH25-AQ24,IF(A25&lt;'Données projet'!$A$62,$AF$205^A25,IF(A25='Données projet'!$A$62,'Données projet'!$B$62,AI24+AH25-AQ24)))</f>
        <v>225.39999999999998</v>
      </c>
      <c r="AJ25" s="13">
        <f>AI25*VLOOKUP('Données projet'!$B$10,Paramètres!$A$1:$I$89,3,0)*VLOOKUP('Données projet'!$B$10,Paramètres!$A$1:$I$89,5,0)</f>
        <v>105.48719999999999</v>
      </c>
      <c r="AK25" s="13">
        <f t="shared" si="35"/>
        <v>28.265155367923839</v>
      </c>
      <c r="AL25" s="20">
        <f t="shared" si="4"/>
        <v>232.95201893246733</v>
      </c>
      <c r="AM25" s="57">
        <f t="shared" si="5"/>
        <v>516.5075744880229</v>
      </c>
      <c r="AN25" s="57">
        <f ca="1">AVERAGE(OFFSET($AM$3,0,0,'Données projet'!$E$10+1,1))-AVERAGE(OFFSET($H$3,0,0,'Données projet'!$E$10+1,1))</f>
        <v>524.3999528951972</v>
      </c>
      <c r="AO25" s="57">
        <f t="shared" si="36"/>
        <v>459.3547783500515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19.075849748725894</v>
      </c>
      <c r="AX25" s="21">
        <f t="shared" si="6"/>
        <v>19.075849748725894</v>
      </c>
      <c r="AY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30.4</v>
      </c>
      <c r="BD25" s="12">
        <f>IF('Données projet'!$A$88&gt;35,BD24+BC25-BL24,IF(A25&lt;'Données projet'!$A$88,$BA$205^A25,IF(A25='Données projet'!$A$88,'Données projet'!$B$88,BD24+BC25-BL24)))</f>
        <v>202.80000000000004</v>
      </c>
      <c r="BE25" s="13">
        <f>BD25*VLOOKUP('Données projet'!$B$11,Paramètres!$A$1:$I$89,3,0)*VLOOKUP('Données projet'!$B$11,Paramètres!$A$1:$I$89,5,0)</f>
        <v>97.546800000000019</v>
      </c>
      <c r="BF25" s="13">
        <f t="shared" si="37"/>
        <v>26.376714315973636</v>
      </c>
      <c r="BG25" s="20">
        <f t="shared" si="7"/>
        <v>215.83345410032075</v>
      </c>
      <c r="BH25" s="57">
        <f t="shared" si="8"/>
        <v>499.38900965587629</v>
      </c>
      <c r="BI25" s="57">
        <f ca="1">AVERAGE(OFFSET($BH$3,0,0,'Données projet'!$E$11+1,1))-AVERAGE(OFFSET($H$3,0,0,'Données projet'!$E$11+1,1))</f>
        <v>495.6473104257044</v>
      </c>
      <c r="BJ25" s="57">
        <f t="shared" si="38"/>
        <v>430.92527296485201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11.708980304869947</v>
      </c>
      <c r="BS25" s="22">
        <f t="shared" si="9"/>
        <v>11.708980304869947</v>
      </c>
      <c r="BT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232</v>
      </c>
      <c r="BW25" s="12">
        <f>VLOOKUP(A25,'Données projet'!$A$113:$I$133,9,0)</f>
        <v>20</v>
      </c>
      <c r="BX25" s="12">
        <f t="array" ref="BX25">INDEX(BW:BW,MIN(IF(ISNUMBER(BW25:BW221),ROW(BW25:BW221),"")))</f>
        <v>20</v>
      </c>
      <c r="BY25" s="12">
        <f>IF('Données projet'!$A$114&gt;35,BY24+BX25-CG24,IF(A25&lt;'Données projet'!$A$114,$BV$205^A25,IF(A25='Données projet'!$A$114,'Données projet'!$B$114,BY24+BX25-CG24)))</f>
        <v>232</v>
      </c>
      <c r="BZ25" s="13">
        <f>BY25*VLOOKUP('Données projet'!$B$12,Paramètres!$A$1:$I$89,3,0)*VLOOKUP('Données projet'!$B$12,Paramètres!$A$1:$I$89,5,0)</f>
        <v>138.73599999999999</v>
      </c>
      <c r="CA25" s="13">
        <f t="shared" si="39"/>
        <v>36.007288175538044</v>
      </c>
      <c r="CB25" s="20">
        <f t="shared" si="10"/>
        <v>304.34456023906205</v>
      </c>
      <c r="CC25" s="57">
        <f t="shared" si="11"/>
        <v>587.90011579461759</v>
      </c>
      <c r="CD25" s="57">
        <f ca="1">AVERAGE(OFFSET($CC$3,0,0,'Données projet'!$E$12+1,1))-AVERAGE(OFFSET($H$3,0,0,'Données projet'!$E$12+1,1))</f>
        <v>187.80389738728508</v>
      </c>
      <c r="CE25" s="57">
        <f t="shared" si="40"/>
        <v>439.28159165815265</v>
      </c>
      <c r="CF25" s="15">
        <f>IF(ISNA(VLOOKUP(A25,'Données projet'!$A$113:$I$133,3,0)),0,VLOOKUP(A25,'Données projet'!$A$113:$I$133,3,0))</f>
        <v>3</v>
      </c>
      <c r="CG25" s="15">
        <f>IF(ISNA(VLOOKUP(A25,'Données projet'!$A$113:$I$133,4,0)),0,VLOOKUP(A25,'Données projet'!$A$113:$I$133,4,0))</f>
        <v>56</v>
      </c>
      <c r="CH25" s="16">
        <f>IF(ISNA(VLOOKUP(A25,'Données projet'!$A$113:$I$133,5,0)),0%,VLOOKUP(A25,'Données projet'!$A$113:$I$133,5,0)*VLOOKUP('Données projet'!$B$12,Paramètres!$A$1:$I$89,7,0))</f>
        <v>0.27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0.4</v>
      </c>
      <c r="CK25" s="21">
        <f>EXP(-LN(2)/35)*CK24+(1-EXP(-LN(2)/35))/(LN(2)/35)*CG25*CH25*VLOOKUP('Données projet'!$B$12,Paramètres!$A$1:$I$89,3,0)*0.475*44/12</f>
        <v>15.47020903867794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19.745907038342907</v>
      </c>
      <c r="CN25" s="22">
        <f t="shared" si="12"/>
        <v>35.216116077020843</v>
      </c>
      <c r="CO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5.6</v>
      </c>
      <c r="CT25" s="12">
        <f>IF('Données projet'!$A$140&gt;35,CT24+CS25-DB24,IF(A25&lt;'Données projet'!$A$140,$CQ$205^A25,IF(A25='Données projet'!$A$140,'Données projet'!$B$140,CT24+CS25-DB24)))</f>
        <v>53.2</v>
      </c>
      <c r="CU25" s="17">
        <f>CT25*VLOOKUP('Données projet'!$B$13,Paramètres!$A$1:$I$89,3,0)*VLOOKUP('Données projet'!$B$13,Paramètres!$A$1:$I$89,5,0)</f>
        <v>48.135359999999999</v>
      </c>
      <c r="CV25" s="13">
        <f t="shared" si="41"/>
        <v>14.131148275361113</v>
      </c>
      <c r="CW25" s="20">
        <f t="shared" si="13"/>
        <v>108.4475019129206</v>
      </c>
      <c r="CX25" s="57">
        <f t="shared" si="14"/>
        <v>392.00305746847613</v>
      </c>
      <c r="CY25" s="57">
        <f ca="1">AVERAGE(OFFSET($CX$3,0,0,'Données projet'!$E$13+1,1))-AVERAGE(OFFSET($H$3,0,0,'Données projet'!$E$13+1,1))</f>
        <v>364.3481978218424</v>
      </c>
      <c r="CZ25" s="57">
        <f t="shared" si="42"/>
        <v>231.36959598460686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>
        <f>VLOOKUP(A25,'Données projet'!$A$165:$I$185,2,0)</f>
        <v>151</v>
      </c>
      <c r="DM25" s="12">
        <f>VLOOKUP(A25,'Données projet'!$A$165:$I$185,9,0)</f>
        <v>5</v>
      </c>
      <c r="DN25" s="12">
        <f t="array" ref="DN25">INDEX(DM:DM,MIN(IF(ISNUMBER(DM25:DM221),ROW(DM25:DM221),"")))</f>
        <v>5</v>
      </c>
      <c r="DO25" s="12">
        <f>IF('Données projet'!$A$166&gt;35,DO24+DN25-DW24,IF(A25&lt;'Données projet'!$A$166,$DL$205^A25,IF(A25='Données projet'!$A$166,'Données projet'!$B$166,DO24+DN25-DW24)))</f>
        <v>151.00000000000003</v>
      </c>
      <c r="DP25" s="17">
        <f>DO25*VLOOKUP('Données projet'!$B$14,Paramètres!$A$1:$I$89,3,0)*VLOOKUP('Données projet'!$B$14,Paramètres!$A$1:$I$89,5,0)</f>
        <v>110.71320000000003</v>
      </c>
      <c r="DQ25" s="13">
        <f t="shared" si="43"/>
        <v>29.498956799987518</v>
      </c>
      <c r="DR25" s="20">
        <f t="shared" si="16"/>
        <v>244.20283975997833</v>
      </c>
      <c r="DS25" s="57">
        <f t="shared" si="17"/>
        <v>527.7583953155339</v>
      </c>
      <c r="DT25" s="57">
        <f ca="1">AVERAGE(OFFSET($DS$3,0,0,'Données projet'!$E$14+1,1))-AVERAGE(OFFSET($H$3,0,0,'Données projet'!$E$14+1,1))</f>
        <v>239.25212250019609</v>
      </c>
      <c r="DU25" s="57">
        <f t="shared" si="44"/>
        <v>213.58492101729695</v>
      </c>
      <c r="DV25" s="15">
        <f>IF(ISNA(VLOOKUP(A25,'Données projet'!$A$165:$I$185,3,0)),0,VLOOKUP(A25,'Données projet'!$A$165:$I$185,3,0))</f>
        <v>2</v>
      </c>
      <c r="DW25" s="15">
        <f>IF(ISNA(VLOOKUP(A25,'Données projet'!$A$165:$I$185,4,0)),0,VLOOKUP(A25,'Données projet'!$A$165:$I$185,4,0))</f>
        <v>54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8.8000000000000007</v>
      </c>
      <c r="EJ25" s="12">
        <f>IF('Données projet'!$A$192&gt;35,EJ24+EI25-ER24,IF(A25&lt;'Données projet'!$A$192,$EG$205^A25,IF(A25='Données projet'!$A$192,'Données projet'!$B$192,EJ24+EI25-ER24)))</f>
        <v>49.599999999999994</v>
      </c>
      <c r="EK25" s="17">
        <f>EJ25*VLOOKUP('Données projet'!$B$15,Paramètres!$A$1:$I$89,3,0)*VLOOKUP('Données projet'!$B$15,Paramètres!$A$1:$I$89,5,0)</f>
        <v>42.556799999999996</v>
      </c>
      <c r="EL25" s="13">
        <f t="shared" si="45"/>
        <v>12.673863978067095</v>
      </c>
      <c r="EM25" s="20">
        <f t="shared" si="19"/>
        <v>96.193406428466844</v>
      </c>
      <c r="EN25" s="57">
        <f t="shared" si="20"/>
        <v>379.7489619840224</v>
      </c>
      <c r="EO25" s="57">
        <f ca="1">AVERAGE(OFFSET($EN$3,0,0,'Données projet'!$E$15+1,1))-AVERAGE(OFFSET($H$3,0,0,'Données projet'!$E$15+1,1))</f>
        <v>447.10969593632467</v>
      </c>
      <c r="EP25" s="57">
        <f t="shared" si="46"/>
        <v>256.77417912163997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7" t="e">
        <f t="shared" si="23"/>
        <v>#N/A</v>
      </c>
      <c r="FJ25" s="57" t="e">
        <f ca="1">AVERAGE(OFFSET($FI$3,0,0,'Données projet'!$E$16+1,1))-AVERAGE(OFFSET($H$3,0,0,'Données projet'!$E$16+1,1))</f>
        <v>#N/A</v>
      </c>
      <c r="FK25" s="57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7" t="e">
        <f t="shared" si="26"/>
        <v>#N/A</v>
      </c>
      <c r="GE25" s="57" t="e">
        <f ca="1">AVERAGE(OFFSET($GD$3,0,0,'Données projet'!$E$17+1,1))-AVERAGE(OFFSET($H$3,0,0,'Données projet'!$E$17+1,1))</f>
        <v>#N/A</v>
      </c>
      <c r="GF25" s="57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7" t="e">
        <f t="shared" si="29"/>
        <v>#N/A</v>
      </c>
      <c r="GZ25" s="57" t="e">
        <f ca="1">AVERAGE(OFFSET($GY$3,0,0,'Données projet'!$E$18+1,1))-AVERAGE(OFFSET($H$3,0,0,'Données projet'!$E$18+1,1))</f>
        <v>#N/A</v>
      </c>
      <c r="HA25" s="57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0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4">
        <f t="shared" si="1"/>
        <v>256.66666666666669</v>
      </c>
      <c r="I26" s="6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7">
        <f t="shared" si="0"/>
        <v>623.96500994027633</v>
      </c>
      <c r="S26" s="57">
        <f ca="1">AVERAGE(OFFSET($R$3,0,0,'Données projet'!$E$9+1,1))-AVERAGE(OFFSET($H$3,0,0,'Données projet'!$E$9+1,1))</f>
        <v>443.34220761968419</v>
      </c>
      <c r="T26" s="57">
        <f t="shared" si="34"/>
        <v>546.58234447298014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33.200000000000003</v>
      </c>
      <c r="AI26" s="13">
        <f>IF('Données projet'!$A$62&gt;35,AI25+AH26-AQ25,IF(A26&lt;'Données projet'!$A$62,$AF$205^A26,IF(A26='Données projet'!$A$62,'Données projet'!$B$62,AI25+AH26-AQ25)))</f>
        <v>258.59999999999997</v>
      </c>
      <c r="AJ26" s="13">
        <f>AI26*VLOOKUP('Données projet'!$B$10,Paramètres!$A$1:$I$89,3,0)*VLOOKUP('Données projet'!$B$10,Paramètres!$A$1:$I$89,5,0)</f>
        <v>121.02479999999998</v>
      </c>
      <c r="AK26" s="13">
        <f t="shared" si="35"/>
        <v>31.913898642318912</v>
      </c>
      <c r="AL26" s="20">
        <f t="shared" si="4"/>
        <v>266.36823346870545</v>
      </c>
      <c r="AM26" s="57">
        <f t="shared" si="5"/>
        <v>551.14601124648323</v>
      </c>
      <c r="AN26" s="57">
        <f ca="1">AVERAGE(OFFSET($AM$3,0,0,'Données projet'!$E$10+1,1))-AVERAGE(OFFSET($H$3,0,0,'Données projet'!$E$10+1,1))</f>
        <v>524.3999528951972</v>
      </c>
      <c r="AO26" s="57">
        <f t="shared" si="36"/>
        <v>459.3547783500515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13.488662714219778</v>
      </c>
      <c r="AX26" s="21">
        <f t="shared" si="6"/>
        <v>13.488662714219778</v>
      </c>
      <c r="AY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30.4</v>
      </c>
      <c r="BD26" s="12">
        <f>IF('Données projet'!$A$88&gt;35,BD25+BC26-BL25,IF(A26&lt;'Données projet'!$A$88,$BA$205^A26,IF(A26='Données projet'!$A$88,'Données projet'!$B$88,BD25+BC26-BL25)))</f>
        <v>233.20000000000005</v>
      </c>
      <c r="BE26" s="13">
        <f>BD26*VLOOKUP('Données projet'!$B$11,Paramètres!$A$1:$I$89,3,0)*VLOOKUP('Données projet'!$B$11,Paramètres!$A$1:$I$89,5,0)</f>
        <v>112.16920000000003</v>
      </c>
      <c r="BF26" s="13">
        <f t="shared" si="37"/>
        <v>29.84148270278088</v>
      </c>
      <c r="BG26" s="20">
        <f t="shared" si="7"/>
        <v>247.33527237401009</v>
      </c>
      <c r="BH26" s="57">
        <f t="shared" si="8"/>
        <v>532.11305015178789</v>
      </c>
      <c r="BI26" s="57">
        <f ca="1">AVERAGE(OFFSET($BH$3,0,0,'Données projet'!$E$11+1,1))-AVERAGE(OFFSET($H$3,0,0,'Données projet'!$E$11+1,1))</f>
        <v>495.6473104257044</v>
      </c>
      <c r="BJ26" s="57">
        <f t="shared" si="38"/>
        <v>430.92527296485201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8.2794993743532679</v>
      </c>
      <c r="BS26" s="22">
        <f t="shared" si="9"/>
        <v>8.2794993743532679</v>
      </c>
      <c r="BT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>
        <f>VLOOKUP(A26,'Données projet'!$A$113:$I$133,2,0)</f>
        <v>192</v>
      </c>
      <c r="BW26" s="12">
        <f>VLOOKUP(A26,'Données projet'!$A$113:$I$133,9,0)</f>
        <v>16</v>
      </c>
      <c r="BX26" s="12">
        <f t="array" ref="BX26">INDEX(BW:BW,MIN(IF(ISNUMBER(BW26:BW222),ROW(BW26:BW222),"")))</f>
        <v>16</v>
      </c>
      <c r="BY26" s="12">
        <f>IF('Données projet'!$A$114&gt;35,BY25+BX26-CG25,IF(A26&lt;'Données projet'!$A$114,$BV$205^A26,IF(A26='Données projet'!$A$114,'Données projet'!$B$114,BY25+BX26-CG25)))</f>
        <v>192</v>
      </c>
      <c r="BZ26" s="13">
        <f>BY26*VLOOKUP('Données projet'!$B$12,Paramètres!$A$1:$I$89,3,0)*VLOOKUP('Données projet'!$B$12,Paramètres!$A$1:$I$89,5,0)</f>
        <v>114.81600000000002</v>
      </c>
      <c r="CA26" s="13">
        <f t="shared" si="39"/>
        <v>30.462826482209831</v>
      </c>
      <c r="CB26" s="20">
        <f t="shared" si="10"/>
        <v>253.02728945651543</v>
      </c>
      <c r="CC26" s="57">
        <f t="shared" si="11"/>
        <v>537.80506723429323</v>
      </c>
      <c r="CD26" s="57">
        <f ca="1">AVERAGE(OFFSET($CC$3,0,0,'Données projet'!$E$12+1,1))-AVERAGE(OFFSET($H$3,0,0,'Données projet'!$E$12+1,1))</f>
        <v>187.80389738728508</v>
      </c>
      <c r="CE26" s="57">
        <f t="shared" si="40"/>
        <v>439.28159165815265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15.166847675325261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13.962464767491447</v>
      </c>
      <c r="CN26" s="22">
        <f t="shared" si="12"/>
        <v>29.129312442816708</v>
      </c>
      <c r="CO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5.6</v>
      </c>
      <c r="CT26" s="12">
        <f>IF('Données projet'!$A$140&gt;35,CT25+CS26-DB25,IF(A26&lt;'Données projet'!$A$140,$CQ$205^A26,IF(A26='Données projet'!$A$140,'Données projet'!$B$140,CT25+CS26-DB25)))</f>
        <v>58.800000000000004</v>
      </c>
      <c r="CU26" s="17">
        <f>CT26*VLOOKUP('Données projet'!$B$13,Paramètres!$A$1:$I$89,3,0)*VLOOKUP('Données projet'!$B$13,Paramètres!$A$1:$I$89,5,0)</f>
        <v>53.202240000000003</v>
      </c>
      <c r="CV26" s="13">
        <f t="shared" si="41"/>
        <v>15.437740642425908</v>
      </c>
      <c r="CW26" s="20">
        <f t="shared" si="13"/>
        <v>119.54796628555846</v>
      </c>
      <c r="CX26" s="57">
        <f t="shared" si="14"/>
        <v>404.32574406333623</v>
      </c>
      <c r="CY26" s="57">
        <f ca="1">AVERAGE(OFFSET($CX$3,0,0,'Données projet'!$E$13+1,1))-AVERAGE(OFFSET($H$3,0,0,'Données projet'!$E$13+1,1))</f>
        <v>364.3481978218424</v>
      </c>
      <c r="CZ26" s="57">
        <f t="shared" si="42"/>
        <v>231.36959598460686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6.6</v>
      </c>
      <c r="DO26" s="12">
        <f>IF('Données projet'!$A$166&gt;35,DO25+DN26-DW25,IF(A26&lt;'Données projet'!$A$166,$DL$205^A26,IF(A26='Données projet'!$A$166,'Données projet'!$B$166,DO25+DN26-DW25)))</f>
        <v>103.60000000000002</v>
      </c>
      <c r="DP26" s="17">
        <f>DO26*VLOOKUP('Données projet'!$B$14,Paramètres!$A$1:$I$89,3,0)*VLOOKUP('Données projet'!$B$14,Paramètres!$A$1:$I$89,5,0)</f>
        <v>75.959520000000012</v>
      </c>
      <c r="DQ26" s="13">
        <f t="shared" si="43"/>
        <v>21.146305742114752</v>
      </c>
      <c r="DR26" s="20">
        <f t="shared" si="16"/>
        <v>169.1259798341832</v>
      </c>
      <c r="DS26" s="57">
        <f t="shared" si="17"/>
        <v>453.90375761196094</v>
      </c>
      <c r="DT26" s="57">
        <f ca="1">AVERAGE(OFFSET($DS$3,0,0,'Données projet'!$E$14+1,1))-AVERAGE(OFFSET($H$3,0,0,'Données projet'!$E$14+1,1))</f>
        <v>239.25212250019609</v>
      </c>
      <c r="DU26" s="57">
        <f t="shared" si="44"/>
        <v>213.58492101729695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8.8000000000000007</v>
      </c>
      <c r="EJ26" s="12">
        <f>IF('Données projet'!$A$192&gt;35,EJ25+EI26-ER25,IF(A26&lt;'Données projet'!$A$192,$EG$205^A26,IF(A26='Données projet'!$A$192,'Données projet'!$B$192,EJ25+EI26-ER25)))</f>
        <v>58.399999999999991</v>
      </c>
      <c r="EK26" s="17">
        <f>EJ26*VLOOKUP('Données projet'!$B$15,Paramètres!$A$1:$I$89,3,0)*VLOOKUP('Données projet'!$B$15,Paramètres!$A$1:$I$89,5,0)</f>
        <v>50.107199999999999</v>
      </c>
      <c r="EL26" s="13">
        <f t="shared" si="45"/>
        <v>14.641441079141797</v>
      </c>
      <c r="EM26" s="20">
        <f t="shared" si="19"/>
        <v>112.77054987950528</v>
      </c>
      <c r="EN26" s="57">
        <f t="shared" si="20"/>
        <v>397.54832765728304</v>
      </c>
      <c r="EO26" s="57">
        <f ca="1">AVERAGE(OFFSET($EN$3,0,0,'Données projet'!$E$15+1,1))-AVERAGE(OFFSET($H$3,0,0,'Données projet'!$E$15+1,1))</f>
        <v>447.10969593632467</v>
      </c>
      <c r="EP26" s="57">
        <f t="shared" si="46"/>
        <v>256.77417912163997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7" t="e">
        <f t="shared" si="23"/>
        <v>#N/A</v>
      </c>
      <c r="FJ26" s="57" t="e">
        <f ca="1">AVERAGE(OFFSET($FI$3,0,0,'Données projet'!$E$16+1,1))-AVERAGE(OFFSET($H$3,0,0,'Données projet'!$E$16+1,1))</f>
        <v>#N/A</v>
      </c>
      <c r="FK26" s="57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7" t="e">
        <f t="shared" si="26"/>
        <v>#N/A</v>
      </c>
      <c r="GE26" s="57" t="e">
        <f ca="1">AVERAGE(OFFSET($GD$3,0,0,'Données projet'!$E$17+1,1))-AVERAGE(OFFSET($H$3,0,0,'Données projet'!$E$17+1,1))</f>
        <v>#N/A</v>
      </c>
      <c r="GF26" s="57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7" t="e">
        <f t="shared" si="29"/>
        <v>#N/A</v>
      </c>
      <c r="GZ26" s="57" t="e">
        <f ca="1">AVERAGE(OFFSET($GY$3,0,0,'Données projet'!$E$18+1,1))-AVERAGE(OFFSET($H$3,0,0,'Données projet'!$E$18+1,1))</f>
        <v>#N/A</v>
      </c>
      <c r="HA26" s="57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0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4">
        <f t="shared" si="1"/>
        <v>256.66666666666669</v>
      </c>
      <c r="I27" s="6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7">
        <f t="shared" si="0"/>
        <v>659.57707921130032</v>
      </c>
      <c r="S27" s="57">
        <f ca="1">AVERAGE(OFFSET($R$3,0,0,'Données projet'!$E$9+1,1))-AVERAGE(OFFSET($H$3,0,0,'Données projet'!$E$9+1,1))</f>
        <v>443.34220761968419</v>
      </c>
      <c r="T27" s="57">
        <f t="shared" si="34"/>
        <v>546.58234447298014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33.200000000000003</v>
      </c>
      <c r="AI27" s="13">
        <f>IF('Données projet'!$A$62&gt;35,AI26+AH27-AQ26,IF(A27&lt;'Données projet'!$A$62,$AF$205^A27,IF(A27='Données projet'!$A$62,'Données projet'!$B$62,AI26+AH27-AQ26)))</f>
        <v>291.79999999999995</v>
      </c>
      <c r="AJ27" s="13">
        <f>AI27*VLOOKUP('Données projet'!$B$10,Paramètres!$A$1:$I$89,3,0)*VLOOKUP('Données projet'!$B$10,Paramètres!$A$1:$I$89,5,0)</f>
        <v>136.56239999999997</v>
      </c>
      <c r="AK27" s="13">
        <f t="shared" si="35"/>
        <v>35.508363795743612</v>
      </c>
      <c r="AL27" s="20">
        <f t="shared" si="4"/>
        <v>299.68991361092009</v>
      </c>
      <c r="AM27" s="57">
        <f t="shared" si="5"/>
        <v>585.68991361092003</v>
      </c>
      <c r="AN27" s="57">
        <f ca="1">AVERAGE(OFFSET($AM$3,0,0,'Données projet'!$E$10+1,1))-AVERAGE(OFFSET($H$3,0,0,'Données projet'!$E$10+1,1))</f>
        <v>524.3999528951972</v>
      </c>
      <c r="AO27" s="57">
        <f t="shared" si="36"/>
        <v>459.3547783500515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9.5379248743629468</v>
      </c>
      <c r="AX27" s="21">
        <f t="shared" si="6"/>
        <v>9.5379248743629468</v>
      </c>
      <c r="AY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30.4</v>
      </c>
      <c r="BD27" s="12">
        <f>IF('Données projet'!$A$88&gt;35,BD26+BC27-BL26,IF(A27&lt;'Données projet'!$A$88,$BA$205^A27,IF(A27='Données projet'!$A$88,'Données projet'!$B$88,BD26+BC27-BL26)))</f>
        <v>263.60000000000002</v>
      </c>
      <c r="BE27" s="13">
        <f>BD27*VLOOKUP('Données projet'!$B$11,Paramètres!$A$1:$I$89,3,0)*VLOOKUP('Données projet'!$B$11,Paramètres!$A$1:$I$89,5,0)</f>
        <v>126.79160000000002</v>
      </c>
      <c r="BF27" s="13">
        <f t="shared" si="37"/>
        <v>33.2539175016191</v>
      </c>
      <c r="BG27" s="20">
        <f t="shared" si="7"/>
        <v>278.74594298198662</v>
      </c>
      <c r="BH27" s="57">
        <f t="shared" si="8"/>
        <v>564.74594298198667</v>
      </c>
      <c r="BI27" s="57">
        <f ca="1">AVERAGE(OFFSET($BH$3,0,0,'Données projet'!$E$11+1,1))-AVERAGE(OFFSET($H$3,0,0,'Données projet'!$E$11+1,1))</f>
        <v>495.6473104257044</v>
      </c>
      <c r="BJ27" s="57">
        <f t="shared" si="38"/>
        <v>430.92527296485201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5.8544901524349733</v>
      </c>
      <c r="BS27" s="22">
        <f t="shared" si="9"/>
        <v>5.8544901524349733</v>
      </c>
      <c r="BT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>
        <f>VLOOKUP(A27,'Données projet'!$A$113:$I$133,2,0)</f>
        <v>209</v>
      </c>
      <c r="BW27" s="12">
        <f>VLOOKUP(A27,'Données projet'!$A$113:$I$133,9,0)</f>
        <v>17</v>
      </c>
      <c r="BX27" s="12">
        <f t="array" ref="BX27">INDEX(BW:BW,MIN(IF(ISNUMBER(BW27:BW223),ROW(BW27:BW223),"")))</f>
        <v>17</v>
      </c>
      <c r="BY27" s="12">
        <f>IF('Données projet'!$A$114&gt;35,BY26+BX27-CG26,IF(A27&lt;'Données projet'!$A$114,$BV$205^A27,IF(A27='Données projet'!$A$114,'Données projet'!$B$114,BY26+BX27-CG26)))</f>
        <v>209</v>
      </c>
      <c r="BZ27" s="13">
        <f>BY27*VLOOKUP('Données projet'!$B$12,Paramètres!$A$1:$I$89,3,0)*VLOOKUP('Données projet'!$B$12,Paramètres!$A$1:$I$89,5,0)</f>
        <v>124.982</v>
      </c>
      <c r="CA27" s="13">
        <f t="shared" si="39"/>
        <v>32.834203796212122</v>
      </c>
      <c r="CB27" s="20">
        <f t="shared" si="10"/>
        <v>274.86322161173604</v>
      </c>
      <c r="CC27" s="57">
        <f t="shared" si="11"/>
        <v>560.86322161173598</v>
      </c>
      <c r="CD27" s="57">
        <f ca="1">AVERAGE(OFFSET($CC$3,0,0,'Données projet'!$E$12+1,1))-AVERAGE(OFFSET($H$3,0,0,'Données projet'!$E$12+1,1))</f>
        <v>187.80389738728508</v>
      </c>
      <c r="CE27" s="57">
        <f t="shared" si="40"/>
        <v>439.28159165815265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14.869435043275768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9.872953519171455</v>
      </c>
      <c r="CN27" s="22">
        <f t="shared" si="12"/>
        <v>24.742388562447225</v>
      </c>
      <c r="CO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5.6</v>
      </c>
      <c r="CT27" s="12">
        <f>IF('Données projet'!$A$140&gt;35,CT26+CS27-DB26,IF(A27&lt;'Données projet'!$A$140,$CQ$205^A27,IF(A27='Données projet'!$A$140,'Données projet'!$B$140,CT26+CS27-DB26)))</f>
        <v>64.400000000000006</v>
      </c>
      <c r="CU27" s="17">
        <f>CT27*VLOOKUP('Données projet'!$B$13,Paramètres!$A$1:$I$89,3,0)*VLOOKUP('Données projet'!$B$13,Paramètres!$A$1:$I$89,5,0)</f>
        <v>58.269120000000008</v>
      </c>
      <c r="CV27" s="13">
        <f t="shared" si="41"/>
        <v>16.729905486873804</v>
      </c>
      <c r="CW27" s="20">
        <f t="shared" si="13"/>
        <v>130.62330272297189</v>
      </c>
      <c r="CX27" s="57">
        <f t="shared" si="14"/>
        <v>416.62330272297186</v>
      </c>
      <c r="CY27" s="57">
        <f ca="1">AVERAGE(OFFSET($CX$3,0,0,'Données projet'!$E$13+1,1))-AVERAGE(OFFSET($H$3,0,0,'Données projet'!$E$13+1,1))</f>
        <v>364.3481978218424</v>
      </c>
      <c r="CZ27" s="57">
        <f t="shared" si="42"/>
        <v>231.36959598460686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6.6</v>
      </c>
      <c r="DO27" s="12">
        <f>IF('Données projet'!$A$166&gt;35,DO26+DN27-DW26,IF(A27&lt;'Données projet'!$A$166,$DL$205^A27,IF(A27='Données projet'!$A$166,'Données projet'!$B$166,DO26+DN27-DW26)))</f>
        <v>110.20000000000002</v>
      </c>
      <c r="DP27" s="17">
        <f>DO27*VLOOKUP('Données projet'!$B$14,Paramètres!$A$1:$I$89,3,0)*VLOOKUP('Données projet'!$B$14,Paramètres!$A$1:$I$89,5,0)</f>
        <v>80.798640000000006</v>
      </c>
      <c r="DQ27" s="13">
        <f t="shared" si="43"/>
        <v>22.332342724937131</v>
      </c>
      <c r="DR27" s="20">
        <f t="shared" si="16"/>
        <v>179.61979491259885</v>
      </c>
      <c r="DS27" s="57">
        <f t="shared" si="17"/>
        <v>465.61979491259888</v>
      </c>
      <c r="DT27" s="57">
        <f ca="1">AVERAGE(OFFSET($DS$3,0,0,'Données projet'!$E$14+1,1))-AVERAGE(OFFSET($H$3,0,0,'Données projet'!$E$14+1,1))</f>
        <v>239.25212250019609</v>
      </c>
      <c r="DU27" s="57">
        <f t="shared" si="44"/>
        <v>213.58492101729695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8.8000000000000007</v>
      </c>
      <c r="EJ27" s="12">
        <f>IF('Données projet'!$A$192&gt;35,EJ26+EI27-ER26,IF(A27&lt;'Données projet'!$A$192,$EG$205^A27,IF(A27='Données projet'!$A$192,'Données projet'!$B$192,EJ26+EI27-ER26)))</f>
        <v>67.199999999999989</v>
      </c>
      <c r="EK27" s="17">
        <f>EJ27*VLOOKUP('Données projet'!$B$15,Paramètres!$A$1:$I$89,3,0)*VLOOKUP('Données projet'!$B$15,Paramètres!$A$1:$I$89,5,0)</f>
        <v>57.657599999999995</v>
      </c>
      <c r="EL27" s="13">
        <f t="shared" si="45"/>
        <v>16.574671209026025</v>
      </c>
      <c r="EM27" s="20">
        <f t="shared" si="19"/>
        <v>129.28787235572034</v>
      </c>
      <c r="EN27" s="57">
        <f t="shared" si="20"/>
        <v>415.28787235572031</v>
      </c>
      <c r="EO27" s="57">
        <f ca="1">AVERAGE(OFFSET($EN$3,0,0,'Données projet'!$E$15+1,1))-AVERAGE(OFFSET($H$3,0,0,'Données projet'!$E$15+1,1))</f>
        <v>447.10969593632467</v>
      </c>
      <c r="EP27" s="57">
        <f t="shared" si="46"/>
        <v>256.77417912163997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7" t="e">
        <f t="shared" si="23"/>
        <v>#N/A</v>
      </c>
      <c r="FJ27" s="57" t="e">
        <f ca="1">AVERAGE(OFFSET($FI$3,0,0,'Données projet'!$E$16+1,1))-AVERAGE(OFFSET($H$3,0,0,'Données projet'!$E$16+1,1))</f>
        <v>#N/A</v>
      </c>
      <c r="FK27" s="57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7" t="e">
        <f t="shared" si="26"/>
        <v>#N/A</v>
      </c>
      <c r="GE27" s="57" t="e">
        <f ca="1">AVERAGE(OFFSET($GD$3,0,0,'Données projet'!$E$17+1,1))-AVERAGE(OFFSET($H$3,0,0,'Données projet'!$E$17+1,1))</f>
        <v>#N/A</v>
      </c>
      <c r="GF27" s="57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7" t="e">
        <f t="shared" si="29"/>
        <v>#N/A</v>
      </c>
      <c r="GZ27" s="57" t="e">
        <f ca="1">AVERAGE(OFFSET($GY$3,0,0,'Données projet'!$E$18+1,1))-AVERAGE(OFFSET($H$3,0,0,'Données projet'!$E$18+1,1))</f>
        <v>#N/A</v>
      </c>
      <c r="HA27" s="57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0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4">
        <f t="shared" si="1"/>
        <v>256.66666666666669</v>
      </c>
      <c r="I28" s="6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7">
        <f t="shared" si="0"/>
        <v>695.12016171690379</v>
      </c>
      <c r="S28" s="57">
        <f ca="1">AVERAGE(OFFSET($R$3,0,0,'Données projet'!$E$9+1,1))-AVERAGE(OFFSET($H$3,0,0,'Données projet'!$E$9+1,1))</f>
        <v>443.34220761968419</v>
      </c>
      <c r="T28" s="57">
        <f t="shared" si="34"/>
        <v>546.58234447298014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1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34.177564133133899</v>
      </c>
      <c r="AC28" s="22">
        <f t="shared" si="3"/>
        <v>34.177564133133899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325</v>
      </c>
      <c r="AG28" s="12">
        <f>VLOOKUP(A28,'Données projet'!$A$61:$I$81,9,0)</f>
        <v>33.200000000000003</v>
      </c>
      <c r="AH28" s="12">
        <f t="array" ref="AH28">INDEX(AG:AG,MIN(IF(ISNUMBER(AG28:AG224),ROW(AG28:AG224),"")))</f>
        <v>33.200000000000003</v>
      </c>
      <c r="AI28" s="13">
        <f>IF('Données projet'!$A$62&gt;35,AI27+AH28-AQ27,IF(A28&lt;'Données projet'!$A$62,$AF$205^A28,IF(A28='Données projet'!$A$62,'Données projet'!$B$62,AI27+AH28-AQ27)))</f>
        <v>324.99999999999994</v>
      </c>
      <c r="AJ28" s="13">
        <f>AI28*VLOOKUP('Données projet'!$B$10,Paramètres!$A$1:$I$89,3,0)*VLOOKUP('Données projet'!$B$10,Paramètres!$A$1:$I$89,5,0)</f>
        <v>152.09999999999997</v>
      </c>
      <c r="AK28" s="13">
        <f t="shared" si="35"/>
        <v>39.055431318323095</v>
      </c>
      <c r="AL28" s="20">
        <f t="shared" si="4"/>
        <v>332.92904287941263</v>
      </c>
      <c r="AM28" s="57">
        <f t="shared" si="5"/>
        <v>620.15126510163486</v>
      </c>
      <c r="AN28" s="57">
        <f ca="1">AVERAGE(OFFSET($AM$3,0,0,'Données projet'!$E$10+1,1))-AVERAGE(OFFSET($H$3,0,0,'Données projet'!$E$10+1,1))</f>
        <v>524.3999528951972</v>
      </c>
      <c r="AO28" s="57">
        <f t="shared" si="36"/>
        <v>459.3547783500515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84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0.55000000000000004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28.569512310843759</v>
      </c>
      <c r="AW28" s="21">
        <f>EXP(-LN(2)/2)*AW27+(1-EXP(-LN(2)/2))/(LN(2)/2)*AQ28*AT28*VLOOKUP('Données projet'!$B$10,Paramètres!$A$1:$I$89,3,0)*0.475*44/12</f>
        <v>6.7443313571098891</v>
      </c>
      <c r="AX28" s="21">
        <f t="shared" si="6"/>
        <v>35.313843667953648</v>
      </c>
      <c r="AY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294</v>
      </c>
      <c r="BB28" s="12">
        <f>VLOOKUP(A28,'Données projet'!$A$87:$I$107,9,0)</f>
        <v>30.4</v>
      </c>
      <c r="BC28" s="12">
        <f t="array" ref="BC28">INDEX(BB:BB,MIN(IF(ISNUMBER(BB28:BB224),ROW(BB28:BB224),"")))</f>
        <v>30.4</v>
      </c>
      <c r="BD28" s="12">
        <f>IF('Données projet'!$A$88&gt;35,BD27+BC28-BL27,IF(A28&lt;'Données projet'!$A$88,$BA$205^A28,IF(A28='Données projet'!$A$88,'Données projet'!$B$88,BD27+BC28-BL27)))</f>
        <v>294</v>
      </c>
      <c r="BE28" s="13">
        <f>BD28*VLOOKUP('Données projet'!$B$11,Paramètres!$A$1:$I$89,3,0)*VLOOKUP('Données projet'!$B$11,Paramètres!$A$1:$I$89,5,0)</f>
        <v>141.41400000000002</v>
      </c>
      <c r="BF28" s="13">
        <f t="shared" si="37"/>
        <v>36.620743339746923</v>
      </c>
      <c r="BG28" s="20">
        <f t="shared" si="7"/>
        <v>310.07717798339257</v>
      </c>
      <c r="BH28" s="57">
        <f t="shared" si="8"/>
        <v>597.2994002056148</v>
      </c>
      <c r="BI28" s="57">
        <f ca="1">AVERAGE(OFFSET($BH$3,0,0,'Données projet'!$E$11+1,1))-AVERAGE(OFFSET($H$3,0,0,'Données projet'!$E$11+1,1))</f>
        <v>495.6473104257044</v>
      </c>
      <c r="BJ28" s="57">
        <f t="shared" si="38"/>
        <v>430.92527296485201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77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0.55000000000000004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26.916184052114378</v>
      </c>
      <c r="BR28" s="21">
        <f>EXP(-LN(2)/2)*BR27+(1-EXP(-LN(2)/2))/(LN(2)/2)*BL28*BO28*VLOOKUP('Données projet'!$B$11,Paramètres!$A$1:$I$89,3,0)*0.475*44/12</f>
        <v>4.1397496871766339</v>
      </c>
      <c r="BS28" s="22">
        <f t="shared" si="9"/>
        <v>31.055933739291014</v>
      </c>
      <c r="BT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226</v>
      </c>
      <c r="BW28" s="12">
        <f>VLOOKUP(A28,'Données projet'!$A$113:$I$133,9,0)</f>
        <v>17</v>
      </c>
      <c r="BX28" s="12">
        <f t="array" ref="BX28">INDEX(BW:BW,MIN(IF(ISNUMBER(BW28:BW224),ROW(BW28:BW224),"")))</f>
        <v>17</v>
      </c>
      <c r="BY28" s="12">
        <f>IF('Données projet'!$A$114&gt;35,BY27+BX28-CG27,IF(A28&lt;'Données projet'!$A$114,$BV$205^A28,IF(A28='Données projet'!$A$114,'Données projet'!$B$114,BY27+BX28-CG27)))</f>
        <v>226</v>
      </c>
      <c r="BZ28" s="13">
        <f>BY28*VLOOKUP('Données projet'!$B$12,Paramètres!$A$1:$I$89,3,0)*VLOOKUP('Données projet'!$B$12,Paramètres!$A$1:$I$89,5,0)</f>
        <v>135.14800000000002</v>
      </c>
      <c r="CA28" s="13">
        <f t="shared" si="39"/>
        <v>35.183208974998173</v>
      </c>
      <c r="CB28" s="20">
        <f t="shared" si="10"/>
        <v>296.66018896478852</v>
      </c>
      <c r="CC28" s="57">
        <f t="shared" si="11"/>
        <v>583.8824111870108</v>
      </c>
      <c r="CD28" s="57">
        <f ca="1">AVERAGE(OFFSET($CC$3,0,0,'Données projet'!$E$12+1,1))-AVERAGE(OFFSET($H$3,0,0,'Données projet'!$E$12+1,1))</f>
        <v>187.80389738728508</v>
      </c>
      <c r="CE28" s="57">
        <f t="shared" si="40"/>
        <v>439.28159165815265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14.577854491536971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6.9812323837457253</v>
      </c>
      <c r="CN28" s="22">
        <f t="shared" si="12"/>
        <v>21.559086875282695</v>
      </c>
      <c r="CO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70</v>
      </c>
      <c r="CR28" s="12">
        <f>VLOOKUP(A28,'Données projet'!$A$139:$I$159,9,0)</f>
        <v>5.6</v>
      </c>
      <c r="CS28" s="12">
        <f t="array" ref="CS28">INDEX(CR:CR,MIN(IF(ISNUMBER(CR28:CR224),ROW(CR28:CR224),"")))</f>
        <v>5.6</v>
      </c>
      <c r="CT28" s="12">
        <f>IF('Données projet'!$A$140&gt;35,CT27+CS28-DB27,IF(A28&lt;'Données projet'!$A$140,$CQ$205^A28,IF(A28='Données projet'!$A$140,'Données projet'!$B$140,CT27+CS28-DB27)))</f>
        <v>70</v>
      </c>
      <c r="CU28" s="17">
        <f>CT28*VLOOKUP('Données projet'!$B$13,Paramètres!$A$1:$I$89,3,0)*VLOOKUP('Données projet'!$B$13,Paramètres!$A$1:$I$89,5,0)</f>
        <v>63.335999999999991</v>
      </c>
      <c r="CV28" s="13">
        <f t="shared" si="41"/>
        <v>18.009040022946227</v>
      </c>
      <c r="CW28" s="20">
        <f t="shared" si="13"/>
        <v>141.67594470663133</v>
      </c>
      <c r="CX28" s="57">
        <f t="shared" si="14"/>
        <v>428.89816692885358</v>
      </c>
      <c r="CY28" s="57">
        <f ca="1">AVERAGE(OFFSET($CX$3,0,0,'Données projet'!$E$13+1,1))-AVERAGE(OFFSET($H$3,0,0,'Données projet'!$E$13+1,1))</f>
        <v>364.3481978218424</v>
      </c>
      <c r="CZ28" s="57">
        <f t="shared" si="42"/>
        <v>231.36959598460686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6.6</v>
      </c>
      <c r="DO28" s="12">
        <f>IF('Données projet'!$A$166&gt;35,DO27+DN28-DW27,IF(A28&lt;'Données projet'!$A$166,$DL$205^A28,IF(A28='Données projet'!$A$166,'Données projet'!$B$166,DO27+DN28-DW27)))</f>
        <v>116.80000000000001</v>
      </c>
      <c r="DP28" s="17">
        <f>DO28*VLOOKUP('Données projet'!$B$14,Paramètres!$A$1:$I$89,3,0)*VLOOKUP('Données projet'!$B$14,Paramètres!$A$1:$I$89,5,0)</f>
        <v>85.63776</v>
      </c>
      <c r="DQ28" s="13">
        <f t="shared" si="43"/>
        <v>23.510135010014299</v>
      </c>
      <c r="DR28" s="20">
        <f t="shared" si="16"/>
        <v>190.09925047577488</v>
      </c>
      <c r="DS28" s="57">
        <f t="shared" si="17"/>
        <v>477.32147269799714</v>
      </c>
      <c r="DT28" s="57">
        <f ca="1">AVERAGE(OFFSET($DS$3,0,0,'Données projet'!$E$14+1,1))-AVERAGE(OFFSET($H$3,0,0,'Données projet'!$E$14+1,1))</f>
        <v>239.25212250019609</v>
      </c>
      <c r="DU28" s="57">
        <f t="shared" si="44"/>
        <v>213.58492101729695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76</v>
      </c>
      <c r="EH28" s="12">
        <f>VLOOKUP(A28,'Données projet'!$A$191:$I$211,9,0)</f>
        <v>8.8000000000000007</v>
      </c>
      <c r="EI28" s="12">
        <f t="array" ref="EI28">INDEX(EH:EH,MIN(IF(ISNUMBER(EH28:EH224),ROW(EH28:EH224),"")))</f>
        <v>8.8000000000000007</v>
      </c>
      <c r="EJ28" s="12">
        <f>IF('Données projet'!$A$192&gt;35,EJ27+EI28-ER27,IF(A28&lt;'Données projet'!$A$192,$EG$205^A28,IF(A28='Données projet'!$A$192,'Données projet'!$B$192,EJ27+EI28-ER27)))</f>
        <v>75.999999999999986</v>
      </c>
      <c r="EK28" s="17">
        <f>EJ28*VLOOKUP('Données projet'!$B$15,Paramètres!$A$1:$I$89,3,0)*VLOOKUP('Données projet'!$B$15,Paramètres!$A$1:$I$89,5,0)</f>
        <v>65.207999999999998</v>
      </c>
      <c r="EL28" s="13">
        <f t="shared" si="45"/>
        <v>18.478568429485204</v>
      </c>
      <c r="EM28" s="20">
        <f t="shared" si="19"/>
        <v>145.75410668135339</v>
      </c>
      <c r="EN28" s="57">
        <f t="shared" si="20"/>
        <v>432.97632890357562</v>
      </c>
      <c r="EO28" s="57">
        <f ca="1">AVERAGE(OFFSET($EN$3,0,0,'Données projet'!$E$15+1,1))-AVERAGE(OFFSET($H$3,0,0,'Données projet'!$E$15+1,1))</f>
        <v>447.10969593632467</v>
      </c>
      <c r="EP28" s="57">
        <f t="shared" si="46"/>
        <v>256.77417912163997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7" t="e">
        <f t="shared" si="23"/>
        <v>#N/A</v>
      </c>
      <c r="FJ28" s="57" t="e">
        <f ca="1">AVERAGE(OFFSET($FI$3,0,0,'Données projet'!$E$16+1,1))-AVERAGE(OFFSET($H$3,0,0,'Données projet'!$E$16+1,1))</f>
        <v>#N/A</v>
      </c>
      <c r="FK28" s="57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7" t="e">
        <f t="shared" si="26"/>
        <v>#N/A</v>
      </c>
      <c r="GE28" s="57" t="e">
        <f ca="1">AVERAGE(OFFSET($GD$3,0,0,'Données projet'!$E$17+1,1))-AVERAGE(OFFSET($H$3,0,0,'Données projet'!$E$17+1,1))</f>
        <v>#N/A</v>
      </c>
      <c r="GF28" s="57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7" t="e">
        <f t="shared" si="29"/>
        <v>#N/A</v>
      </c>
      <c r="GZ28" s="57" t="e">
        <f ca="1">AVERAGE(OFFSET($GY$3,0,0,'Données projet'!$E$18+1,1))-AVERAGE(OFFSET($H$3,0,0,'Données projet'!$E$18+1,1))</f>
        <v>#N/A</v>
      </c>
      <c r="HA28" s="57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0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4">
        <f t="shared" si="1"/>
        <v>256.66666666666669</v>
      </c>
      <c r="I29" s="6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7">
        <f t="shared" si="0"/>
        <v>665.39703298337781</v>
      </c>
      <c r="S29" s="57">
        <f ca="1">AVERAGE(OFFSET($R$3,0,0,'Données projet'!$E$9+1,1))-AVERAGE(OFFSET($H$3,0,0,'Données projet'!$E$9+1,1))</f>
        <v>443.34220761968419</v>
      </c>
      <c r="T29" s="57">
        <f t="shared" si="34"/>
        <v>546.58234447298014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24.16718736297711</v>
      </c>
      <c r="AC29" s="22">
        <f t="shared" si="3"/>
        <v>24.16718736297711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34.799999999999997</v>
      </c>
      <c r="AI29" s="13">
        <f>IF('Données projet'!$A$62&gt;35,AI28+AH29-AQ28,IF(A29&lt;'Données projet'!$A$62,$AF$205^A29,IF(A29='Données projet'!$A$62,'Données projet'!$B$62,AI28+AH29-AQ28)))</f>
        <v>275.79999999999995</v>
      </c>
      <c r="AJ29" s="13">
        <f>AI29*VLOOKUP('Données projet'!$B$10,Paramètres!$A$1:$I$89,3,0)*VLOOKUP('Données projet'!$B$10,Paramètres!$A$1:$I$89,5,0)</f>
        <v>129.07439999999997</v>
      </c>
      <c r="AK29" s="13">
        <f t="shared" si="35"/>
        <v>33.782391484889324</v>
      </c>
      <c r="AL29" s="20">
        <f t="shared" si="4"/>
        <v>283.64224516951549</v>
      </c>
      <c r="AM29" s="57">
        <f t="shared" si="5"/>
        <v>572.08668961395995</v>
      </c>
      <c r="AN29" s="57">
        <f ca="1">AVERAGE(OFFSET($AM$3,0,0,'Données projet'!$E$10+1,1))-AVERAGE(OFFSET($H$3,0,0,'Données projet'!$E$10+1,1))</f>
        <v>524.3999528951972</v>
      </c>
      <c r="AO29" s="57">
        <f t="shared" si="36"/>
        <v>459.3547783500515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27.788277494298381</v>
      </c>
      <c r="AW29" s="21">
        <f>EXP(-LN(2)/2)*AW28+(1-EXP(-LN(2)/2))/(LN(2)/2)*AQ29*AT29*VLOOKUP('Données projet'!$B$10,Paramètres!$A$1:$I$89,3,0)*0.475*44/12</f>
        <v>4.7689624371814734</v>
      </c>
      <c r="AX29" s="21">
        <f t="shared" si="6"/>
        <v>32.557239931479856</v>
      </c>
      <c r="AY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31.8</v>
      </c>
      <c r="BD29" s="12">
        <f>IF('Données projet'!$A$88&gt;35,BD28+BC29-BL28,IF(A29&lt;'Données projet'!$A$88,$BA$205^A29,IF(A29='Données projet'!$A$88,'Données projet'!$B$88,BD28+BC29-BL28)))</f>
        <v>248.8</v>
      </c>
      <c r="BE29" s="13">
        <f>BD29*VLOOKUP('Données projet'!$B$11,Paramètres!$A$1:$I$89,3,0)*VLOOKUP('Données projet'!$B$11,Paramètres!$A$1:$I$89,5,0)</f>
        <v>119.6728</v>
      </c>
      <c r="BF29" s="13">
        <f t="shared" si="37"/>
        <v>31.598673144625497</v>
      </c>
      <c r="BG29" s="20">
        <f t="shared" si="7"/>
        <v>263.46448239355612</v>
      </c>
      <c r="BH29" s="57">
        <f t="shared" si="8"/>
        <v>551.90892683800053</v>
      </c>
      <c r="BI29" s="57">
        <f ca="1">AVERAGE(OFFSET($BH$3,0,0,'Données projet'!$E$11+1,1))-AVERAGE(OFFSET($H$3,0,0,'Données projet'!$E$11+1,1))</f>
        <v>495.6473104257044</v>
      </c>
      <c r="BJ29" s="57">
        <f t="shared" si="38"/>
        <v>430.92527296485201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26.180159583748708</v>
      </c>
      <c r="BR29" s="21">
        <f>EXP(-LN(2)/2)*BR28+(1-EXP(-LN(2)/2))/(LN(2)/2)*BL29*BO29*VLOOKUP('Données projet'!$B$11,Paramètres!$A$1:$I$89,3,0)*0.475*44/12</f>
        <v>2.9272450762174866</v>
      </c>
      <c r="BS29" s="22">
        <f t="shared" si="9"/>
        <v>29.107404659966193</v>
      </c>
      <c r="BT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>
        <f>VLOOKUP(A29,'Données projet'!$A$113:$I$133,2,0)</f>
        <v>244</v>
      </c>
      <c r="BW29" s="12">
        <f>VLOOKUP(A29,'Données projet'!$A$113:$I$133,9,0)</f>
        <v>18</v>
      </c>
      <c r="BX29" s="12">
        <f t="array" ref="BX29">INDEX(BW:BW,MIN(IF(ISNUMBER(BW29:BW225),ROW(BW29:BW225),"")))</f>
        <v>18</v>
      </c>
      <c r="BY29" s="12">
        <f>IF('Données projet'!$A$114&gt;35,BY28+BX29-CG28,IF(A29&lt;'Données projet'!$A$114,$BV$205^A29,IF(A29='Données projet'!$A$114,'Données projet'!$B$114,BY28+BX29-CG28)))</f>
        <v>244</v>
      </c>
      <c r="BZ29" s="13">
        <f>BY29*VLOOKUP('Données projet'!$B$12,Paramètres!$A$1:$I$89,3,0)*VLOOKUP('Données projet'!$B$12,Paramètres!$A$1:$I$89,5,0)</f>
        <v>145.91200000000001</v>
      </c>
      <c r="CA29" s="13">
        <f t="shared" si="39"/>
        <v>37.648084239987625</v>
      </c>
      <c r="CB29" s="20">
        <f t="shared" si="10"/>
        <v>319.70048005131179</v>
      </c>
      <c r="CC29" s="57">
        <f t="shared" si="11"/>
        <v>608.14492449575619</v>
      </c>
      <c r="CD29" s="57">
        <f ca="1">AVERAGE(OFFSET($CC$3,0,0,'Données projet'!$E$12+1,1))-AVERAGE(OFFSET($H$3,0,0,'Données projet'!$E$12+1,1))</f>
        <v>187.80389738728508</v>
      </c>
      <c r="CE29" s="57">
        <f t="shared" si="40"/>
        <v>439.28159165815265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14.291991656571197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4.9364767595857284</v>
      </c>
      <c r="CN29" s="22">
        <f t="shared" si="12"/>
        <v>19.228468416156925</v>
      </c>
      <c r="CO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7</v>
      </c>
      <c r="CT29" s="12">
        <f>IF('Données projet'!$A$140&gt;35,CT28+CS29-DB28,IF(A29&lt;'Données projet'!$A$140,$CQ$205^A29,IF(A29='Données projet'!$A$140,'Données projet'!$B$140,CT28+CS29-DB28)))</f>
        <v>69</v>
      </c>
      <c r="CU29" s="17">
        <f>CT29*VLOOKUP('Données projet'!$B$13,Paramètres!$A$1:$I$89,3,0)*VLOOKUP('Données projet'!$B$13,Paramètres!$A$1:$I$89,5,0)</f>
        <v>62.431199999999997</v>
      </c>
      <c r="CV29" s="13">
        <f t="shared" si="41"/>
        <v>17.781524466058684</v>
      </c>
      <c r="CW29" s="20">
        <f t="shared" si="13"/>
        <v>139.70382844505221</v>
      </c>
      <c r="CX29" s="57">
        <f t="shared" si="14"/>
        <v>428.14827288949664</v>
      </c>
      <c r="CY29" s="57">
        <f ca="1">AVERAGE(OFFSET($CX$3,0,0,'Données projet'!$E$13+1,1))-AVERAGE(OFFSET($H$3,0,0,'Données projet'!$E$13+1,1))</f>
        <v>364.3481978218424</v>
      </c>
      <c r="CZ29" s="57">
        <f t="shared" si="42"/>
        <v>231.36959598460686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6.6</v>
      </c>
      <c r="DO29" s="12">
        <f>IF('Données projet'!$A$166&gt;35,DO28+DN29-DW28,IF(A29&lt;'Données projet'!$A$166,$DL$205^A29,IF(A29='Données projet'!$A$166,'Données projet'!$B$166,DO28+DN29-DW28)))</f>
        <v>123.4</v>
      </c>
      <c r="DP29" s="17">
        <f>DO29*VLOOKUP('Données projet'!$B$14,Paramètres!$A$1:$I$89,3,0)*VLOOKUP('Données projet'!$B$14,Paramètres!$A$1:$I$89,5,0)</f>
        <v>90.476879999999994</v>
      </c>
      <c r="DQ29" s="13">
        <f t="shared" si="43"/>
        <v>24.680201568735427</v>
      </c>
      <c r="DR29" s="20">
        <f t="shared" si="16"/>
        <v>200.56525039888083</v>
      </c>
      <c r="DS29" s="57">
        <f t="shared" si="17"/>
        <v>489.00969484332529</v>
      </c>
      <c r="DT29" s="57">
        <f ca="1">AVERAGE(OFFSET($DS$3,0,0,'Données projet'!$E$14+1,1))-AVERAGE(OFFSET($H$3,0,0,'Données projet'!$E$14+1,1))</f>
        <v>239.25212250019609</v>
      </c>
      <c r="DU29" s="57">
        <f t="shared" si="44"/>
        <v>213.58492101729695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9.4</v>
      </c>
      <c r="EJ29" s="12">
        <f>IF('Données projet'!$A$192&gt;35,EJ28+EI29-ER28,IF(A29&lt;'Données projet'!$A$192,$EG$205^A29,IF(A29='Données projet'!$A$192,'Données projet'!$B$192,EJ28+EI29-ER28)))</f>
        <v>78.399999999999991</v>
      </c>
      <c r="EK29" s="17">
        <f>EJ29*VLOOKUP('Données projet'!$B$15,Paramètres!$A$1:$I$89,3,0)*VLOOKUP('Données projet'!$B$15,Paramètres!$A$1:$I$89,5,0)</f>
        <v>67.267200000000003</v>
      </c>
      <c r="EL29" s="13">
        <f t="shared" si="45"/>
        <v>18.993242158132926</v>
      </c>
      <c r="EM29" s="20">
        <f t="shared" si="19"/>
        <v>150.23693675874819</v>
      </c>
      <c r="EN29" s="57">
        <f t="shared" si="20"/>
        <v>438.68138120319264</v>
      </c>
      <c r="EO29" s="57">
        <f ca="1">AVERAGE(OFFSET($EN$3,0,0,'Données projet'!$E$15+1,1))-AVERAGE(OFFSET($H$3,0,0,'Données projet'!$E$15+1,1))</f>
        <v>447.10969593632467</v>
      </c>
      <c r="EP29" s="57">
        <f t="shared" si="46"/>
        <v>256.77417912163997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7" t="e">
        <f t="shared" si="23"/>
        <v>#N/A</v>
      </c>
      <c r="FJ29" s="57" t="e">
        <f ca="1">AVERAGE(OFFSET($FI$3,0,0,'Données projet'!$E$16+1,1))-AVERAGE(OFFSET($H$3,0,0,'Données projet'!$E$16+1,1))</f>
        <v>#N/A</v>
      </c>
      <c r="FK29" s="57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7" t="e">
        <f t="shared" si="26"/>
        <v>#N/A</v>
      </c>
      <c r="GE29" s="57" t="e">
        <f ca="1">AVERAGE(OFFSET($GD$3,0,0,'Données projet'!$E$17+1,1))-AVERAGE(OFFSET($H$3,0,0,'Données projet'!$E$17+1,1))</f>
        <v>#N/A</v>
      </c>
      <c r="GF29" s="57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7" t="e">
        <f t="shared" si="29"/>
        <v>#N/A</v>
      </c>
      <c r="GZ29" s="57" t="e">
        <f ca="1">AVERAGE(OFFSET($GY$3,0,0,'Données projet'!$E$18+1,1))-AVERAGE(OFFSET($H$3,0,0,'Données projet'!$E$18+1,1))</f>
        <v>#N/A</v>
      </c>
      <c r="HA29" s="57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0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4">
        <f t="shared" si="1"/>
        <v>256.66666666666669</v>
      </c>
      <c r="I30" s="6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7">
        <f t="shared" si="0"/>
        <v>699.94286175098273</v>
      </c>
      <c r="S30" s="57">
        <f ca="1">AVERAGE(OFFSET($R$3,0,0,'Données projet'!$E$9+1,1))-AVERAGE(OFFSET($H$3,0,0,'Données projet'!$E$9+1,1))</f>
        <v>443.34220761968419</v>
      </c>
      <c r="T30" s="57">
        <f t="shared" si="34"/>
        <v>546.58234447298014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17.088782066566953</v>
      </c>
      <c r="AC30" s="22">
        <f t="shared" si="3"/>
        <v>17.088782066566953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34.799999999999997</v>
      </c>
      <c r="AI30" s="13">
        <f>IF('Données projet'!$A$62&gt;35,AI29+AH30-AQ29,IF(A30&lt;'Données projet'!$A$62,$AF$205^A30,IF(A30='Données projet'!$A$62,'Données projet'!$B$62,AI29+AH30-AQ29)))</f>
        <v>310.59999999999997</v>
      </c>
      <c r="AJ30" s="13">
        <f>AI30*VLOOKUP('Données projet'!$B$10,Paramètres!$A$1:$I$89,3,0)*VLOOKUP('Données projet'!$B$10,Paramètres!$A$1:$I$89,5,0)</f>
        <v>145.36079999999998</v>
      </c>
      <c r="AK30" s="13">
        <f t="shared" si="35"/>
        <v>37.522390863089207</v>
      </c>
      <c r="AL30" s="20">
        <f t="shared" si="4"/>
        <v>318.52155741988031</v>
      </c>
      <c r="AM30" s="57">
        <f t="shared" si="5"/>
        <v>608.18822408654705</v>
      </c>
      <c r="AN30" s="57">
        <f ca="1">AVERAGE(OFFSET($AM$3,0,0,'Données projet'!$E$10+1,1))-AVERAGE(OFFSET($H$3,0,0,'Données projet'!$E$10+1,1))</f>
        <v>524.3999528951972</v>
      </c>
      <c r="AO30" s="57">
        <f t="shared" si="36"/>
        <v>459.3547783500515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27.028405584894788</v>
      </c>
      <c r="AW30" s="21">
        <f>EXP(-LN(2)/2)*AW29+(1-EXP(-LN(2)/2))/(LN(2)/2)*AQ30*AT30*VLOOKUP('Données projet'!$B$10,Paramètres!$A$1:$I$89,3,0)*0.475*44/12</f>
        <v>3.3721656785549445</v>
      </c>
      <c r="AX30" s="21">
        <f t="shared" si="6"/>
        <v>30.400571263449734</v>
      </c>
      <c r="AY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31.8</v>
      </c>
      <c r="BD30" s="12">
        <f>IF('Données projet'!$A$88&gt;35,BD29+BC30-BL29,IF(A30&lt;'Données projet'!$A$88,$BA$205^A30,IF(A30='Données projet'!$A$88,'Données projet'!$B$88,BD29+BC30-BL29)))</f>
        <v>280.60000000000002</v>
      </c>
      <c r="BE30" s="13">
        <f>BD30*VLOOKUP('Données projet'!$B$11,Paramètres!$A$1:$I$89,3,0)*VLOOKUP('Données projet'!$B$11,Paramètres!$A$1:$I$89,5,0)</f>
        <v>134.96860000000001</v>
      </c>
      <c r="BF30" s="13">
        <f t="shared" si="37"/>
        <v>35.141938683339475</v>
      </c>
      <c r="BG30" s="20">
        <f t="shared" si="7"/>
        <v>296.2758548734829</v>
      </c>
      <c r="BH30" s="57">
        <f t="shared" si="8"/>
        <v>585.94252154014953</v>
      </c>
      <c r="BI30" s="57">
        <f ca="1">AVERAGE(OFFSET($BH$3,0,0,'Données projet'!$E$11+1,1))-AVERAGE(OFFSET($H$3,0,0,'Données projet'!$E$11+1,1))</f>
        <v>495.6473104257044</v>
      </c>
      <c r="BJ30" s="57">
        <f t="shared" si="38"/>
        <v>430.92527296485201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25.464261743176344</v>
      </c>
      <c r="BR30" s="21">
        <f>EXP(-LN(2)/2)*BR29+(1-EXP(-LN(2)/2))/(LN(2)/2)*BL30*BO30*VLOOKUP('Données projet'!$B$11,Paramètres!$A$1:$I$89,3,0)*0.475*44/12</f>
        <v>2.069874843588317</v>
      </c>
      <c r="BS30" s="22">
        <f t="shared" si="9"/>
        <v>27.53413658676466</v>
      </c>
      <c r="BT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>
        <f>VLOOKUP(A30,'Données projet'!$A$113:$I$133,2,0)</f>
        <v>261</v>
      </c>
      <c r="BW30" s="12">
        <f>VLOOKUP(A30,'Données projet'!$A$113:$I$133,9,0)</f>
        <v>17</v>
      </c>
      <c r="BX30" s="12">
        <f t="array" ref="BX30">INDEX(BW:BW,MIN(IF(ISNUMBER(BW30:BW226),ROW(BW30:BW226),"")))</f>
        <v>17</v>
      </c>
      <c r="BY30" s="12">
        <f>IF('Données projet'!$A$114&gt;35,BY29+BX30-CG29,IF(A30&lt;'Données projet'!$A$114,$BV$205^A30,IF(A30='Données projet'!$A$114,'Données projet'!$B$114,BY29+BX30-CG29)))</f>
        <v>261</v>
      </c>
      <c r="BZ30" s="13">
        <f>BY30*VLOOKUP('Données projet'!$B$12,Paramètres!$A$1:$I$89,3,0)*VLOOKUP('Données projet'!$B$12,Paramètres!$A$1:$I$89,5,0)</f>
        <v>156.078</v>
      </c>
      <c r="CA30" s="13">
        <f t="shared" si="39"/>
        <v>39.956623674978466</v>
      </c>
      <c r="CB30" s="20">
        <f t="shared" si="10"/>
        <v>341.42696956725416</v>
      </c>
      <c r="CC30" s="57">
        <f t="shared" si="11"/>
        <v>631.09363623392085</v>
      </c>
      <c r="CD30" s="57">
        <f ca="1">AVERAGE(OFFSET($CC$3,0,0,'Données projet'!$E$12+1,1))-AVERAGE(OFFSET($H$3,0,0,'Données projet'!$E$12+1,1))</f>
        <v>187.80389738728508</v>
      </c>
      <c r="CE30" s="57">
        <f t="shared" si="40"/>
        <v>439.28159165815265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14.011734417439989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3.4906161918728631</v>
      </c>
      <c r="CN30" s="22">
        <f t="shared" si="12"/>
        <v>17.502350609312852</v>
      </c>
      <c r="CO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7</v>
      </c>
      <c r="CT30" s="12">
        <f>IF('Données projet'!$A$140&gt;35,CT29+CS30-DB29,IF(A30&lt;'Données projet'!$A$140,$CQ$205^A30,IF(A30='Données projet'!$A$140,'Données projet'!$B$140,CT29+CS30-DB29)))</f>
        <v>76</v>
      </c>
      <c r="CU30" s="17">
        <f>CT30*VLOOKUP('Données projet'!$B$13,Paramètres!$A$1:$I$89,3,0)*VLOOKUP('Données projet'!$B$13,Paramètres!$A$1:$I$89,5,0)</f>
        <v>68.764799999999994</v>
      </c>
      <c r="CV30" s="13">
        <f t="shared" si="41"/>
        <v>19.366396769521369</v>
      </c>
      <c r="CW30" s="20">
        <f t="shared" si="13"/>
        <v>153.49516770691636</v>
      </c>
      <c r="CX30" s="57">
        <f t="shared" si="14"/>
        <v>443.16183437358302</v>
      </c>
      <c r="CY30" s="57">
        <f ca="1">AVERAGE(OFFSET($CX$3,0,0,'Données projet'!$E$13+1,1))-AVERAGE(OFFSET($H$3,0,0,'Données projet'!$E$13+1,1))</f>
        <v>364.3481978218424</v>
      </c>
      <c r="CZ30" s="57">
        <f t="shared" si="42"/>
        <v>231.36959598460686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>
        <f>VLOOKUP(A30,'Données projet'!$A$165:$I$185,2,0)</f>
        <v>130</v>
      </c>
      <c r="DM30" s="12">
        <f>VLOOKUP(A30,'Données projet'!$A$165:$I$185,9,0)</f>
        <v>6.6</v>
      </c>
      <c r="DN30" s="12">
        <f t="array" ref="DN30">INDEX(DM:DM,MIN(IF(ISNUMBER(DM30:DM226),ROW(DM30:DM226),"")))</f>
        <v>6.6</v>
      </c>
      <c r="DO30" s="12">
        <f>IF('Données projet'!$A$166&gt;35,DO29+DN30-DW29,IF(A30&lt;'Données projet'!$A$166,$DL$205^A30,IF(A30='Données projet'!$A$166,'Données projet'!$B$166,DO29+DN30-DW29)))</f>
        <v>130</v>
      </c>
      <c r="DP30" s="17">
        <f>DO30*VLOOKUP('Données projet'!$B$14,Paramètres!$A$1:$I$89,3,0)*VLOOKUP('Données projet'!$B$14,Paramètres!$A$1:$I$89,5,0)</f>
        <v>95.315999999999988</v>
      </c>
      <c r="DQ30" s="13">
        <f t="shared" si="43"/>
        <v>25.843002723192381</v>
      </c>
      <c r="DR30" s="20">
        <f t="shared" si="16"/>
        <v>211.01859640956005</v>
      </c>
      <c r="DS30" s="57">
        <f t="shared" si="17"/>
        <v>500.68526307622676</v>
      </c>
      <c r="DT30" s="57">
        <f ca="1">AVERAGE(OFFSET($DS$3,0,0,'Données projet'!$E$14+1,1))-AVERAGE(OFFSET($H$3,0,0,'Données projet'!$E$14+1,1))</f>
        <v>239.25212250019609</v>
      </c>
      <c r="DU30" s="57">
        <f t="shared" si="44"/>
        <v>213.58492101729695</v>
      </c>
      <c r="DV30" s="15">
        <f>IF(ISNA(VLOOKUP(A30,'Données projet'!$A$165:$I$185,3,0)),0,VLOOKUP(A30,'Données projet'!$A$165:$I$185,3,0))</f>
        <v>3</v>
      </c>
      <c r="DW30" s="15">
        <f>IF(ISNA(VLOOKUP(A30,'Données projet'!$A$165:$I$185,4,0)),0,VLOOKUP(A30,'Données projet'!$A$165:$I$185,4,0))</f>
        <v>38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9.4</v>
      </c>
      <c r="EJ30" s="12">
        <f>IF('Données projet'!$A$192&gt;35,EJ29+EI30-ER29,IF(A30&lt;'Données projet'!$A$192,$EG$205^A30,IF(A30='Données projet'!$A$192,'Données projet'!$B$192,EJ29+EI30-ER29)))</f>
        <v>87.8</v>
      </c>
      <c r="EK30" s="17">
        <f>EJ30*VLOOKUP('Données projet'!$B$15,Paramètres!$A$1:$I$89,3,0)*VLOOKUP('Données projet'!$B$15,Paramètres!$A$1:$I$89,5,0)</f>
        <v>75.332400000000007</v>
      </c>
      <c r="EL30" s="13">
        <f t="shared" si="45"/>
        <v>20.991969498724234</v>
      </c>
      <c r="EM30" s="20">
        <f t="shared" si="19"/>
        <v>167.76494354361137</v>
      </c>
      <c r="EN30" s="57">
        <f t="shared" si="20"/>
        <v>457.43161021027805</v>
      </c>
      <c r="EO30" s="57">
        <f ca="1">AVERAGE(OFFSET($EN$3,0,0,'Données projet'!$E$15+1,1))-AVERAGE(OFFSET($H$3,0,0,'Données projet'!$E$15+1,1))</f>
        <v>447.10969593632467</v>
      </c>
      <c r="EP30" s="57">
        <f t="shared" si="46"/>
        <v>256.77417912163997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7" t="e">
        <f t="shared" si="23"/>
        <v>#N/A</v>
      </c>
      <c r="FJ30" s="57" t="e">
        <f ca="1">AVERAGE(OFFSET($FI$3,0,0,'Données projet'!$E$16+1,1))-AVERAGE(OFFSET($H$3,0,0,'Données projet'!$E$16+1,1))</f>
        <v>#N/A</v>
      </c>
      <c r="FK30" s="57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7" t="e">
        <f t="shared" si="26"/>
        <v>#N/A</v>
      </c>
      <c r="GE30" s="57" t="e">
        <f ca="1">AVERAGE(OFFSET($GD$3,0,0,'Données projet'!$E$17+1,1))-AVERAGE(OFFSET($H$3,0,0,'Données projet'!$E$17+1,1))</f>
        <v>#N/A</v>
      </c>
      <c r="GF30" s="57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7" t="e">
        <f t="shared" si="29"/>
        <v>#N/A</v>
      </c>
      <c r="GZ30" s="57" t="e">
        <f ca="1">AVERAGE(OFFSET($GY$3,0,0,'Données projet'!$E$18+1,1))-AVERAGE(OFFSET($H$3,0,0,'Données projet'!$E$18+1,1))</f>
        <v>#N/A</v>
      </c>
      <c r="HA30" s="57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0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4">
        <f t="shared" si="1"/>
        <v>256.66666666666669</v>
      </c>
      <c r="I31" s="6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7">
        <f t="shared" si="0"/>
        <v>734.43026527133907</v>
      </c>
      <c r="S31" s="57">
        <f ca="1">AVERAGE(OFFSET($R$3,0,0,'Données projet'!$E$9+1,1))-AVERAGE(OFFSET($H$3,0,0,'Données projet'!$E$9+1,1))</f>
        <v>443.34220761968419</v>
      </c>
      <c r="T31" s="57">
        <f t="shared" si="34"/>
        <v>546.58234447298014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12.083593681488557</v>
      </c>
      <c r="AC31" s="22">
        <f t="shared" si="3"/>
        <v>12.083593681488557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34.799999999999997</v>
      </c>
      <c r="AI31" s="13">
        <f>IF('Données projet'!$A$62&gt;35,AI30+AH31-AQ30,IF(A31&lt;'Données projet'!$A$62,$AF$205^A31,IF(A31='Données projet'!$A$62,'Données projet'!$B$62,AI30+AH31-AQ30)))</f>
        <v>345.4</v>
      </c>
      <c r="AJ31" s="13">
        <f>AI31*VLOOKUP('Données projet'!$B$10,Paramètres!$A$1:$I$89,3,0)*VLOOKUP('Données projet'!$B$10,Paramètres!$A$1:$I$89,5,0)</f>
        <v>161.6472</v>
      </c>
      <c r="AK31" s="13">
        <f t="shared" si="35"/>
        <v>41.213824203214038</v>
      </c>
      <c r="AL31" s="20">
        <f t="shared" si="4"/>
        <v>353.31628382059779</v>
      </c>
      <c r="AM31" s="57">
        <f t="shared" si="5"/>
        <v>644.20517270948665</v>
      </c>
      <c r="AN31" s="57">
        <f ca="1">AVERAGE(OFFSET($AM$3,0,0,'Données projet'!$E$10+1,1))-AVERAGE(OFFSET($H$3,0,0,'Données projet'!$E$10+1,1))</f>
        <v>524.3999528951972</v>
      </c>
      <c r="AO31" s="57">
        <f t="shared" si="36"/>
        <v>459.3547783500515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26.289312412813764</v>
      </c>
      <c r="AW31" s="21">
        <f>EXP(-LN(2)/2)*AW30+(1-EXP(-LN(2)/2))/(LN(2)/2)*AQ31*AT31*VLOOKUP('Données projet'!$B$10,Paramètres!$A$1:$I$89,3,0)*0.475*44/12</f>
        <v>2.3844812185907367</v>
      </c>
      <c r="AX31" s="21">
        <f t="shared" si="6"/>
        <v>28.6737936314045</v>
      </c>
      <c r="AY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31.8</v>
      </c>
      <c r="BD31" s="12">
        <f>IF('Données projet'!$A$88&gt;35,BD30+BC31-BL30,IF(A31&lt;'Données projet'!$A$88,$BA$205^A31,IF(A31='Données projet'!$A$88,'Données projet'!$B$88,BD30+BC31-BL30)))</f>
        <v>312.40000000000003</v>
      </c>
      <c r="BE31" s="13">
        <f>BD31*VLOOKUP('Données projet'!$B$11,Paramètres!$A$1:$I$89,3,0)*VLOOKUP('Données projet'!$B$11,Paramètres!$A$1:$I$89,5,0)</f>
        <v>150.26440000000002</v>
      </c>
      <c r="BF31" s="13">
        <f t="shared" si="37"/>
        <v>38.63866530961765</v>
      </c>
      <c r="BG31" s="20">
        <f t="shared" si="7"/>
        <v>329.00617208091745</v>
      </c>
      <c r="BH31" s="57">
        <f t="shared" si="8"/>
        <v>619.89506096980631</v>
      </c>
      <c r="BI31" s="57">
        <f ca="1">AVERAGE(OFFSET($BH$3,0,0,'Données projet'!$E$11+1,1))-AVERAGE(OFFSET($H$3,0,0,'Données projet'!$E$11+1,1))</f>
        <v>495.6473104257044</v>
      </c>
      <c r="BJ31" s="57">
        <f t="shared" si="38"/>
        <v>430.92527296485201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24.767940166701862</v>
      </c>
      <c r="BR31" s="21">
        <f>EXP(-LN(2)/2)*BR30+(1-EXP(-LN(2)/2))/(LN(2)/2)*BL31*BO31*VLOOKUP('Données projet'!$B$11,Paramètres!$A$1:$I$89,3,0)*0.475*44/12</f>
        <v>1.4636225381087433</v>
      </c>
      <c r="BS31" s="22">
        <f t="shared" si="9"/>
        <v>26.231562704810607</v>
      </c>
      <c r="BT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>
        <f>VLOOKUP(A31,'Données projet'!$A$113:$I$133,2,0)</f>
        <v>277</v>
      </c>
      <c r="BW31" s="12">
        <f>VLOOKUP(A31,'Données projet'!$A$113:$I$133,9,0)</f>
        <v>16</v>
      </c>
      <c r="BX31" s="12">
        <f t="array" ref="BX31">INDEX(BW:BW,MIN(IF(ISNUMBER(BW31:BW227),ROW(BW31:BW227),"")))</f>
        <v>16</v>
      </c>
      <c r="BY31" s="12">
        <f>IF('Données projet'!$A$114&gt;35,BY30+BX31-CG30,IF(A31&lt;'Données projet'!$A$114,$BV$205^A31,IF(A31='Données projet'!$A$114,'Données projet'!$B$114,BY30+BX31-CG30)))</f>
        <v>277</v>
      </c>
      <c r="BZ31" s="13">
        <f>BY31*VLOOKUP('Données projet'!$B$12,Paramètres!$A$1:$I$89,3,0)*VLOOKUP('Données projet'!$B$12,Paramètres!$A$1:$I$89,5,0)</f>
        <v>165.64600000000002</v>
      </c>
      <c r="CA31" s="13">
        <f t="shared" si="39"/>
        <v>42.113404814327666</v>
      </c>
      <c r="CB31" s="20">
        <f t="shared" si="10"/>
        <v>361.84763005162068</v>
      </c>
      <c r="CC31" s="57">
        <f t="shared" si="11"/>
        <v>652.73651894050954</v>
      </c>
      <c r="CD31" s="57">
        <f ca="1">AVERAGE(OFFSET($CC$3,0,0,'Données projet'!$E$12+1,1))-AVERAGE(OFFSET($H$3,0,0,'Données projet'!$E$12+1,1))</f>
        <v>187.80389738728508</v>
      </c>
      <c r="CE31" s="57">
        <f t="shared" si="40"/>
        <v>439.28159165815265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13.736972851828106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2.4682383797928646</v>
      </c>
      <c r="CN31" s="22">
        <f t="shared" si="12"/>
        <v>16.205211231620972</v>
      </c>
      <c r="CO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7</v>
      </c>
      <c r="CT31" s="12">
        <f>IF('Données projet'!$A$140&gt;35,CT30+CS31-DB30,IF(A31&lt;'Données projet'!$A$140,$CQ$205^A31,IF(A31='Données projet'!$A$140,'Données projet'!$B$140,CT30+CS31-DB30)))</f>
        <v>83</v>
      </c>
      <c r="CU31" s="17">
        <f>CT31*VLOOKUP('Données projet'!$B$13,Paramètres!$A$1:$I$89,3,0)*VLOOKUP('Données projet'!$B$13,Paramètres!$A$1:$I$89,5,0)</f>
        <v>75.098399999999998</v>
      </c>
      <c r="CV31" s="13">
        <f t="shared" si="41"/>
        <v>20.934343091450742</v>
      </c>
      <c r="CW31" s="20">
        <f t="shared" si="13"/>
        <v>167.25702755094335</v>
      </c>
      <c r="CX31" s="57">
        <f t="shared" si="14"/>
        <v>458.14591643983221</v>
      </c>
      <c r="CY31" s="57">
        <f ca="1">AVERAGE(OFFSET($CX$3,0,0,'Données projet'!$E$13+1,1))-AVERAGE(OFFSET($H$3,0,0,'Données projet'!$E$13+1,1))</f>
        <v>364.3481978218424</v>
      </c>
      <c r="CZ31" s="57">
        <f t="shared" si="42"/>
        <v>231.36959598460686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5.5</v>
      </c>
      <c r="DO31" s="12">
        <f>IF('Données projet'!$A$166&gt;35,DO30+DN31-DW30,IF(A31&lt;'Données projet'!$A$166,$DL$205^A31,IF(A31='Données projet'!$A$166,'Données projet'!$B$166,DO30+DN31-DW30)))</f>
        <v>97.5</v>
      </c>
      <c r="DP31" s="17">
        <f>DO31*VLOOKUP('Données projet'!$B$14,Paramètres!$A$1:$I$89,3,0)*VLOOKUP('Données projet'!$B$14,Paramètres!$A$1:$I$89,5,0)</f>
        <v>71.486999999999995</v>
      </c>
      <c r="DQ31" s="13">
        <f t="shared" si="43"/>
        <v>20.042279102156858</v>
      </c>
      <c r="DR31" s="20">
        <f t="shared" si="16"/>
        <v>159.41349443625651</v>
      </c>
      <c r="DS31" s="57">
        <f t="shared" si="17"/>
        <v>450.30238332514534</v>
      </c>
      <c r="DT31" s="57">
        <f ca="1">AVERAGE(OFFSET($DS$3,0,0,'Données projet'!$E$14+1,1))-AVERAGE(OFFSET($H$3,0,0,'Données projet'!$E$14+1,1))</f>
        <v>239.25212250019609</v>
      </c>
      <c r="DU31" s="57">
        <f t="shared" si="44"/>
        <v>213.58492101729695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9.4</v>
      </c>
      <c r="EJ31" s="12">
        <f>IF('Données projet'!$A$192&gt;35,EJ30+EI31-ER30,IF(A31&lt;'Données projet'!$A$192,$EG$205^A31,IF(A31='Données projet'!$A$192,'Données projet'!$B$192,EJ30+EI31-ER30)))</f>
        <v>97.2</v>
      </c>
      <c r="EK31" s="17">
        <f>EJ31*VLOOKUP('Données projet'!$B$15,Paramètres!$A$1:$I$89,3,0)*VLOOKUP('Données projet'!$B$15,Paramètres!$A$1:$I$89,5,0)</f>
        <v>83.397600000000011</v>
      </c>
      <c r="EL31" s="13">
        <f t="shared" si="45"/>
        <v>22.965893371329315</v>
      </c>
      <c r="EM31" s="20">
        <f t="shared" si="19"/>
        <v>185.24975095506522</v>
      </c>
      <c r="EN31" s="57">
        <f t="shared" si="20"/>
        <v>476.13863984395408</v>
      </c>
      <c r="EO31" s="57">
        <f ca="1">AVERAGE(OFFSET($EN$3,0,0,'Données projet'!$E$15+1,1))-AVERAGE(OFFSET($H$3,0,0,'Données projet'!$E$15+1,1))</f>
        <v>447.10969593632467</v>
      </c>
      <c r="EP31" s="57">
        <f t="shared" si="46"/>
        <v>256.77417912163997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7" t="e">
        <f t="shared" si="23"/>
        <v>#N/A</v>
      </c>
      <c r="FJ31" s="57" t="e">
        <f ca="1">AVERAGE(OFFSET($FI$3,0,0,'Données projet'!$E$16+1,1))-AVERAGE(OFFSET($H$3,0,0,'Données projet'!$E$16+1,1))</f>
        <v>#N/A</v>
      </c>
      <c r="FK31" s="57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7" t="e">
        <f t="shared" si="26"/>
        <v>#N/A</v>
      </c>
      <c r="GE31" s="57" t="e">
        <f ca="1">AVERAGE(OFFSET($GD$3,0,0,'Données projet'!$E$17+1,1))-AVERAGE(OFFSET($H$3,0,0,'Données projet'!$E$17+1,1))</f>
        <v>#N/A</v>
      </c>
      <c r="GF31" s="57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7" t="e">
        <f t="shared" si="29"/>
        <v>#N/A</v>
      </c>
      <c r="GZ31" s="57" t="e">
        <f ca="1">AVERAGE(OFFSET($GY$3,0,0,'Données projet'!$E$18+1,1))-AVERAGE(OFFSET($H$3,0,0,'Données projet'!$E$18+1,1))</f>
        <v>#N/A</v>
      </c>
      <c r="HA31" s="57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0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4">
        <f t="shared" si="1"/>
        <v>256.66666666666669</v>
      </c>
      <c r="I32" s="6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7">
        <f t="shared" si="0"/>
        <v>768.86423507735435</v>
      </c>
      <c r="S32" s="57">
        <f ca="1">AVERAGE(OFFSET($R$3,0,0,'Données projet'!$E$9+1,1))-AVERAGE(OFFSET($H$3,0,0,'Données projet'!$E$9+1,1))</f>
        <v>443.34220761968419</v>
      </c>
      <c r="T32" s="57">
        <f t="shared" si="34"/>
        <v>546.58234447298014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8.5443910332834783</v>
      </c>
      <c r="AC32" s="22">
        <f t="shared" si="3"/>
        <v>8.5443910332834783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34.799999999999997</v>
      </c>
      <c r="AI32" s="13">
        <f>IF('Données projet'!$A$62&gt;35,AI31+AH32-AQ31,IF(A32&lt;'Données projet'!$A$62,$AF$205^A32,IF(A32='Données projet'!$A$62,'Données projet'!$B$62,AI31+AH32-AQ31)))</f>
        <v>380.2</v>
      </c>
      <c r="AJ32" s="13">
        <f>AI32*VLOOKUP('Données projet'!$B$10,Paramètres!$A$1:$I$89,3,0)*VLOOKUP('Données projet'!$B$10,Paramètres!$A$1:$I$89,5,0)</f>
        <v>177.93359999999998</v>
      </c>
      <c r="AK32" s="13">
        <f t="shared" si="35"/>
        <v>44.862141751330832</v>
      </c>
      <c r="AL32" s="20">
        <f t="shared" si="4"/>
        <v>388.03591688356778</v>
      </c>
      <c r="AM32" s="57">
        <f t="shared" si="5"/>
        <v>680.14702799467887</v>
      </c>
      <c r="AN32" s="57">
        <f ca="1">AVERAGE(OFFSET($AM$3,0,0,'Données projet'!$E$10+1,1))-AVERAGE(OFFSET($H$3,0,0,'Données projet'!$E$10+1,1))</f>
        <v>524.3999528951972</v>
      </c>
      <c r="AO32" s="57">
        <f t="shared" si="36"/>
        <v>459.3547783500515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25.570429782390516</v>
      </c>
      <c r="AW32" s="21">
        <f>EXP(-LN(2)/2)*AW31+(1-EXP(-LN(2)/2))/(LN(2)/2)*AQ32*AT32*VLOOKUP('Données projet'!$B$10,Paramètres!$A$1:$I$89,3,0)*0.475*44/12</f>
        <v>1.6860828392774723</v>
      </c>
      <c r="AX32" s="21">
        <f t="shared" si="6"/>
        <v>27.256512621667987</v>
      </c>
      <c r="AY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31.8</v>
      </c>
      <c r="BD32" s="12">
        <f>IF('Données projet'!$A$88&gt;35,BD31+BC32-BL31,IF(A32&lt;'Données projet'!$A$88,$BA$205^A32,IF(A32='Données projet'!$A$88,'Données projet'!$B$88,BD31+BC32-BL31)))</f>
        <v>344.20000000000005</v>
      </c>
      <c r="BE32" s="13">
        <f>BD32*VLOOKUP('Données projet'!$B$11,Paramètres!$A$1:$I$89,3,0)*VLOOKUP('Données projet'!$B$11,Paramètres!$A$1:$I$89,5,0)</f>
        <v>165.56020000000001</v>
      </c>
      <c r="BF32" s="13">
        <f t="shared" si="37"/>
        <v>42.094129765293275</v>
      </c>
      <c r="BG32" s="20">
        <f t="shared" si="7"/>
        <v>361.66462434121917</v>
      </c>
      <c r="BH32" s="57">
        <f t="shared" si="8"/>
        <v>653.77573545233031</v>
      </c>
      <c r="BI32" s="57">
        <f ca="1">AVERAGE(OFFSET($BH$3,0,0,'Données projet'!$E$11+1,1))-AVERAGE(OFFSET($H$3,0,0,'Données projet'!$E$11+1,1))</f>
        <v>495.6473104257044</v>
      </c>
      <c r="BJ32" s="57">
        <f t="shared" si="38"/>
        <v>430.92527296485201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24.090659540354036</v>
      </c>
      <c r="BR32" s="21">
        <f>EXP(-LN(2)/2)*BR31+(1-EXP(-LN(2)/2))/(LN(2)/2)*BL32*BO32*VLOOKUP('Données projet'!$B$11,Paramètres!$A$1:$I$89,3,0)*0.475*44/12</f>
        <v>1.0349374217941585</v>
      </c>
      <c r="BS32" s="22">
        <f t="shared" si="9"/>
        <v>25.125596962148194</v>
      </c>
      <c r="BT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>
        <f>VLOOKUP(A32,'Données projet'!$A$113:$I$133,2,0)</f>
        <v>293</v>
      </c>
      <c r="BW32" s="12">
        <f>VLOOKUP(A32,'Données projet'!$A$113:$I$133,9,0)</f>
        <v>16</v>
      </c>
      <c r="BX32" s="12">
        <f t="array" ref="BX32">INDEX(BW:BW,MIN(IF(ISNUMBER(BW32:BW228),ROW(BW32:BW228),"")))</f>
        <v>16</v>
      </c>
      <c r="BY32" s="12">
        <f>IF('Données projet'!$A$114&gt;35,BY31+BX32-CG31,IF(A32&lt;'Données projet'!$A$114,$BV$205^A32,IF(A32='Données projet'!$A$114,'Données projet'!$B$114,BY31+BX32-CG31)))</f>
        <v>293</v>
      </c>
      <c r="BZ32" s="13">
        <f>BY32*VLOOKUP('Données projet'!$B$12,Paramètres!$A$1:$I$89,3,0)*VLOOKUP('Données projet'!$B$12,Paramètres!$A$1:$I$89,5,0)</f>
        <v>175.214</v>
      </c>
      <c r="CA32" s="13">
        <f t="shared" si="39"/>
        <v>44.255725061661991</v>
      </c>
      <c r="CB32" s="20">
        <f t="shared" si="10"/>
        <v>382.24310448239459</v>
      </c>
      <c r="CC32" s="57">
        <f t="shared" si="11"/>
        <v>674.35421559350573</v>
      </c>
      <c r="CD32" s="57">
        <f ca="1">AVERAGE(OFFSET($CC$3,0,0,'Données projet'!$E$12+1,1))-AVERAGE(OFFSET($H$3,0,0,'Données projet'!$E$12+1,1))</f>
        <v>187.80389738728508</v>
      </c>
      <c r="CE32" s="57">
        <f t="shared" si="40"/>
        <v>439.28159165815265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13.467599192929866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1.7453080959364318</v>
      </c>
      <c r="CN32" s="22">
        <f t="shared" si="12"/>
        <v>15.212907288866298</v>
      </c>
      <c r="CO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7</v>
      </c>
      <c r="CT32" s="12">
        <f>IF('Données projet'!$A$140&gt;35,CT31+CS32-DB31,IF(A32&lt;'Données projet'!$A$140,$CQ$205^A32,IF(A32='Données projet'!$A$140,'Données projet'!$B$140,CT31+CS32-DB31)))</f>
        <v>90</v>
      </c>
      <c r="CU32" s="17">
        <f>CT32*VLOOKUP('Données projet'!$B$13,Paramètres!$A$1:$I$89,3,0)*VLOOKUP('Données projet'!$B$13,Paramètres!$A$1:$I$89,5,0)</f>
        <v>81.432000000000002</v>
      </c>
      <c r="CV32" s="13">
        <f t="shared" si="41"/>
        <v>22.486953220240881</v>
      </c>
      <c r="CW32" s="20">
        <f t="shared" si="13"/>
        <v>180.99217685858619</v>
      </c>
      <c r="CX32" s="57">
        <f t="shared" si="14"/>
        <v>473.10328796969736</v>
      </c>
      <c r="CY32" s="57">
        <f ca="1">AVERAGE(OFFSET($CX$3,0,0,'Données projet'!$E$13+1,1))-AVERAGE(OFFSET($H$3,0,0,'Données projet'!$E$13+1,1))</f>
        <v>364.3481978218424</v>
      </c>
      <c r="CZ32" s="57">
        <f t="shared" si="42"/>
        <v>231.36959598460686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5.5</v>
      </c>
      <c r="DO32" s="12">
        <f>IF('Données projet'!$A$166&gt;35,DO31+DN32-DW31,IF(A32&lt;'Données projet'!$A$166,$DL$205^A32,IF(A32='Données projet'!$A$166,'Données projet'!$B$166,DO31+DN32-DW31)))</f>
        <v>103</v>
      </c>
      <c r="DP32" s="17">
        <f>DO32*VLOOKUP('Données projet'!$B$14,Paramètres!$A$1:$I$89,3,0)*VLOOKUP('Données projet'!$B$14,Paramètres!$A$1:$I$89,5,0)</f>
        <v>75.519599999999997</v>
      </c>
      <c r="DQ32" s="13">
        <f t="shared" si="43"/>
        <v>21.03805562204553</v>
      </c>
      <c r="DR32" s="20">
        <f t="shared" si="16"/>
        <v>168.17125020839597</v>
      </c>
      <c r="DS32" s="57">
        <f t="shared" si="17"/>
        <v>460.28236131950712</v>
      </c>
      <c r="DT32" s="57">
        <f ca="1">AVERAGE(OFFSET($DS$3,0,0,'Données projet'!$E$14+1,1))-AVERAGE(OFFSET($H$3,0,0,'Données projet'!$E$14+1,1))</f>
        <v>239.25212250019609</v>
      </c>
      <c r="DU32" s="57">
        <f t="shared" si="44"/>
        <v>213.58492101729695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9.4</v>
      </c>
      <c r="EJ32" s="12">
        <f>IF('Données projet'!$A$192&gt;35,EJ31+EI32-ER31,IF(A32&lt;'Données projet'!$A$192,$EG$205^A32,IF(A32='Données projet'!$A$192,'Données projet'!$B$192,EJ31+EI32-ER31)))</f>
        <v>106.60000000000001</v>
      </c>
      <c r="EK32" s="17">
        <f>EJ32*VLOOKUP('Données projet'!$B$15,Paramètres!$A$1:$I$89,3,0)*VLOOKUP('Données projet'!$B$15,Paramètres!$A$1:$I$89,5,0)</f>
        <v>91.462800000000016</v>
      </c>
      <c r="EL32" s="13">
        <f t="shared" si="45"/>
        <v>24.917685409456144</v>
      </c>
      <c r="EM32" s="20">
        <f t="shared" si="19"/>
        <v>202.69601208813614</v>
      </c>
      <c r="EN32" s="57">
        <f t="shared" si="20"/>
        <v>494.80712319924726</v>
      </c>
      <c r="EO32" s="57">
        <f ca="1">AVERAGE(OFFSET($EN$3,0,0,'Données projet'!$E$15+1,1))-AVERAGE(OFFSET($H$3,0,0,'Données projet'!$E$15+1,1))</f>
        <v>447.10969593632467</v>
      </c>
      <c r="EP32" s="57">
        <f t="shared" si="46"/>
        <v>256.77417912163997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7" t="e">
        <f t="shared" si="23"/>
        <v>#N/A</v>
      </c>
      <c r="FJ32" s="57" t="e">
        <f ca="1">AVERAGE(OFFSET($FI$3,0,0,'Données projet'!$E$16+1,1))-AVERAGE(OFFSET($H$3,0,0,'Données projet'!$E$16+1,1))</f>
        <v>#N/A</v>
      </c>
      <c r="FK32" s="57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7" t="e">
        <f t="shared" si="26"/>
        <v>#N/A</v>
      </c>
      <c r="GE32" s="57" t="e">
        <f ca="1">AVERAGE(OFFSET($GD$3,0,0,'Données projet'!$E$17+1,1))-AVERAGE(OFFSET($H$3,0,0,'Données projet'!$E$17+1,1))</f>
        <v>#N/A</v>
      </c>
      <c r="GF32" s="57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7" t="e">
        <f t="shared" si="29"/>
        <v>#N/A</v>
      </c>
      <c r="GZ32" s="57" t="e">
        <f ca="1">AVERAGE(OFFSET($GY$3,0,0,'Données projet'!$E$18+1,1))-AVERAGE(OFFSET($H$3,0,0,'Données projet'!$E$18+1,1))</f>
        <v>#N/A</v>
      </c>
      <c r="HA32" s="57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0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4">
        <f t="shared" si="1"/>
        <v>256.66666666666669</v>
      </c>
      <c r="I33" s="6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7">
        <f t="shared" si="0"/>
        <v>803.24901113964688</v>
      </c>
      <c r="S33" s="57">
        <f ca="1">AVERAGE(OFFSET($R$3,0,0,'Données projet'!$E$9+1,1))-AVERAGE(OFFSET($H$3,0,0,'Données projet'!$E$9+1,1))</f>
        <v>443.34220761968419</v>
      </c>
      <c r="T33" s="57">
        <f t="shared" si="34"/>
        <v>546.58234447298014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21.937304095826462</v>
      </c>
      <c r="AB33" s="21">
        <f>EXP(-LN(2)/2)*AB32+(1-EXP(-LN(2)/2))/(LN(2)/2)*V33*Y33*VLOOKUP('Données projet'!$B$9,Paramètres!$A$1:$I$89,3,0)*0.475*44/12</f>
        <v>6.0417968407442793</v>
      </c>
      <c r="AC33" s="22">
        <f t="shared" si="3"/>
        <v>27.979100936570742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415</v>
      </c>
      <c r="AG33" s="12">
        <f>VLOOKUP(A33,'Données projet'!$A$61:$I$81,9,0)</f>
        <v>34.799999999999997</v>
      </c>
      <c r="AH33" s="12">
        <f t="array" ref="AH33">INDEX(AG:AG,MIN(IF(ISNUMBER(AG33:AG229),ROW(AG33:AG229),"")))</f>
        <v>34.799999999999997</v>
      </c>
      <c r="AI33" s="13">
        <f>IF('Données projet'!$A$62&gt;35,AI32+AH33-AQ32,IF(A33&lt;'Données projet'!$A$62,$AF$205^A33,IF(A33='Données projet'!$A$62,'Données projet'!$B$62,AI32+AH33-AQ32)))</f>
        <v>415</v>
      </c>
      <c r="AJ33" s="13">
        <f>AI33*VLOOKUP('Données projet'!$B$10,Paramètres!$A$1:$I$89,3,0)*VLOOKUP('Données projet'!$B$10,Paramètres!$A$1:$I$89,5,0)</f>
        <v>194.22000000000003</v>
      </c>
      <c r="AK33" s="13">
        <f t="shared" si="35"/>
        <v>48.471738765579829</v>
      </c>
      <c r="AL33" s="20">
        <f t="shared" si="4"/>
        <v>422.68811168338493</v>
      </c>
      <c r="AM33" s="57">
        <f t="shared" si="5"/>
        <v>716.02144501671819</v>
      </c>
      <c r="AN33" s="57">
        <f ca="1">AVERAGE(OFFSET($AM$3,0,0,'Données projet'!$E$10+1,1))-AVERAGE(OFFSET($H$3,0,0,'Données projet'!$E$10+1,1))</f>
        <v>524.3999528951972</v>
      </c>
      <c r="AO33" s="57">
        <f t="shared" si="36"/>
        <v>459.3547783500515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84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0.55000000000000004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53.440717346144346</v>
      </c>
      <c r="AW33" s="21">
        <f>EXP(-LN(2)/2)*AW32+(1-EXP(-LN(2)/2))/(LN(2)/2)*AQ33*AT33*VLOOKUP('Données projet'!$B$10,Paramètres!$A$1:$I$89,3,0)*0.475*44/12</f>
        <v>1.1922406092953683</v>
      </c>
      <c r="AX33" s="21">
        <f t="shared" si="6"/>
        <v>54.632957955439714</v>
      </c>
      <c r="AY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376</v>
      </c>
      <c r="BB33" s="12">
        <f>VLOOKUP(A33,'Données projet'!$A$87:$I$107,9,0)</f>
        <v>31.8</v>
      </c>
      <c r="BC33" s="12">
        <f t="array" ref="BC33">INDEX(BB:BB,MIN(IF(ISNUMBER(BB33:BB229),ROW(BB33:BB229),"")))</f>
        <v>31.8</v>
      </c>
      <c r="BD33" s="12">
        <f>IF('Données projet'!$A$88&gt;35,BD32+BC33-BL32,IF(A33&lt;'Données projet'!$A$88,$BA$205^A33,IF(A33='Données projet'!$A$88,'Données projet'!$B$88,BD32+BC33-BL32)))</f>
        <v>376.00000000000006</v>
      </c>
      <c r="BE33" s="13">
        <f>BD33*VLOOKUP('Données projet'!$B$11,Paramètres!$A$1:$I$89,3,0)*VLOOKUP('Données projet'!$B$11,Paramètres!$A$1:$I$89,5,0)</f>
        <v>180.85600000000005</v>
      </c>
      <c r="BF33" s="13">
        <f t="shared" si="37"/>
        <v>45.512577778862394</v>
      </c>
      <c r="BG33" s="20">
        <f t="shared" si="7"/>
        <v>394.25860629818544</v>
      </c>
      <c r="BH33" s="57">
        <f t="shared" si="8"/>
        <v>687.5919396315187</v>
      </c>
      <c r="BI33" s="57">
        <f ca="1">AVERAGE(OFFSET($BH$3,0,0,'Données projet'!$E$11+1,1))-AVERAGE(OFFSET($H$3,0,0,'Données projet'!$E$11+1,1))</f>
        <v>495.6473104257044</v>
      </c>
      <c r="BJ33" s="57">
        <f t="shared" si="38"/>
        <v>430.92527296485201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77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0.55000000000000004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50.348083240464703</v>
      </c>
      <c r="BR33" s="21">
        <f>EXP(-LN(2)/2)*BR32+(1-EXP(-LN(2)/2))/(LN(2)/2)*BL33*BO33*VLOOKUP('Données projet'!$B$11,Paramètres!$A$1:$I$89,3,0)*0.475*44/12</f>
        <v>0.73181126905437166</v>
      </c>
      <c r="BS33" s="22">
        <f t="shared" si="9"/>
        <v>51.079894509519072</v>
      </c>
      <c r="BT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309</v>
      </c>
      <c r="BW33" s="12">
        <f>VLOOKUP(A33,'Données projet'!$A$113:$I$133,9,0)</f>
        <v>16</v>
      </c>
      <c r="BX33" s="12">
        <f t="array" ref="BX33">INDEX(BW:BW,MIN(IF(ISNUMBER(BW33:BW229),ROW(BW33:BW229),"")))</f>
        <v>16</v>
      </c>
      <c r="BY33" s="12">
        <f>IF('Données projet'!$A$114&gt;35,BY32+BX33-CG32,IF(A33&lt;'Données projet'!$A$114,$BV$205^A33,IF(A33='Données projet'!$A$114,'Données projet'!$B$114,BY32+BX33-CG32)))</f>
        <v>309</v>
      </c>
      <c r="BZ33" s="13">
        <f>BY33*VLOOKUP('Données projet'!$B$12,Paramètres!$A$1:$I$89,3,0)*VLOOKUP('Données projet'!$B$12,Paramètres!$A$1:$I$89,5,0)</f>
        <v>184.78200000000004</v>
      </c>
      <c r="CA33" s="13">
        <f t="shared" si="39"/>
        <v>46.384464109944147</v>
      </c>
      <c r="CB33" s="20">
        <f t="shared" si="10"/>
        <v>402.61492499148608</v>
      </c>
      <c r="CC33" s="57">
        <f t="shared" si="11"/>
        <v>695.94825832481934</v>
      </c>
      <c r="CD33" s="57">
        <f ca="1">AVERAGE(OFFSET($CC$3,0,0,'Données projet'!$E$12+1,1))-AVERAGE(OFFSET($H$3,0,0,'Données projet'!$E$12+1,1))</f>
        <v>187.80389738728508</v>
      </c>
      <c r="CE33" s="57">
        <f t="shared" si="40"/>
        <v>439.28159165815265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309</v>
      </c>
      <c r="CH33" s="16">
        <f>IF(ISNA(VLOOKUP(A33,'Données projet'!$A$113:$I$133,5,0)),0%,VLOOKUP(A33,'Données projet'!$A$113:$I$133,5,0)*VLOOKUP('Données projet'!$B$12,Paramètres!$A$1:$I$89,7,0))</f>
        <v>0.45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123.50986272944402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1.2341191898964325</v>
      </c>
      <c r="CN33" s="22">
        <f t="shared" si="12"/>
        <v>124.74398191934046</v>
      </c>
      <c r="CO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97</v>
      </c>
      <c r="CR33" s="12">
        <f>VLOOKUP(A33,'Données projet'!$A$139:$I$159,9,0)</f>
        <v>7</v>
      </c>
      <c r="CS33" s="12">
        <f t="array" ref="CS33">INDEX(CR:CR,MIN(IF(ISNUMBER(CR33:CR229),ROW(CR33:CR229),"")))</f>
        <v>7</v>
      </c>
      <c r="CT33" s="12">
        <f>IF('Données projet'!$A$140&gt;35,CT32+CS33-DB32,IF(A33&lt;'Données projet'!$A$140,$CQ$205^A33,IF(A33='Données projet'!$A$140,'Données projet'!$B$140,CT32+CS33-DB32)))</f>
        <v>97</v>
      </c>
      <c r="CU33" s="17">
        <f>CT33*VLOOKUP('Données projet'!$B$13,Paramètres!$A$1:$I$89,3,0)*VLOOKUP('Données projet'!$B$13,Paramètres!$A$1:$I$89,5,0)</f>
        <v>87.765600000000006</v>
      </c>
      <c r="CV33" s="13">
        <f t="shared" si="41"/>
        <v>24.025555589247954</v>
      </c>
      <c r="CW33" s="20">
        <f t="shared" si="13"/>
        <v>194.7029293179402</v>
      </c>
      <c r="CX33" s="57">
        <f t="shared" si="14"/>
        <v>488.03626265127355</v>
      </c>
      <c r="CY33" s="57">
        <f ca="1">AVERAGE(OFFSET($CX$3,0,0,'Données projet'!$E$13+1,1))-AVERAGE(OFFSET($H$3,0,0,'Données projet'!$E$13+1,1))</f>
        <v>364.3481978218424</v>
      </c>
      <c r="CZ33" s="57">
        <f t="shared" si="42"/>
        <v>231.36959598460686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5.5</v>
      </c>
      <c r="DO33" s="12">
        <f>IF('Données projet'!$A$166&gt;35,DO32+DN33-DW32,IF(A33&lt;'Données projet'!$A$166,$DL$205^A33,IF(A33='Données projet'!$A$166,'Données projet'!$B$166,DO32+DN33-DW32)))</f>
        <v>108.5</v>
      </c>
      <c r="DP33" s="17">
        <f>DO33*VLOOKUP('Données projet'!$B$14,Paramètres!$A$1:$I$89,3,0)*VLOOKUP('Données projet'!$B$14,Paramètres!$A$1:$I$89,5,0)</f>
        <v>79.552199999999999</v>
      </c>
      <c r="DQ33" s="13">
        <f t="shared" si="43"/>
        <v>22.027658957299707</v>
      </c>
      <c r="DR33" s="20">
        <f t="shared" si="16"/>
        <v>176.91825435063029</v>
      </c>
      <c r="DS33" s="57">
        <f t="shared" si="17"/>
        <v>470.25158768396363</v>
      </c>
      <c r="DT33" s="57">
        <f ca="1">AVERAGE(OFFSET($DS$3,0,0,'Données projet'!$E$14+1,1))-AVERAGE(OFFSET($H$3,0,0,'Données projet'!$E$14+1,1))</f>
        <v>239.25212250019609</v>
      </c>
      <c r="DU33" s="57">
        <f t="shared" si="44"/>
        <v>213.58492101729695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116</v>
      </c>
      <c r="EH33" s="12">
        <f>VLOOKUP(A33,'Données projet'!$A$191:$I$211,9,0)</f>
        <v>9.4</v>
      </c>
      <c r="EI33" s="12">
        <f t="array" ref="EI33">INDEX(EH:EH,MIN(IF(ISNUMBER(EH33:EH229),ROW(EH33:EH229),"")))</f>
        <v>9.4</v>
      </c>
      <c r="EJ33" s="12">
        <f>IF('Données projet'!$A$192&gt;35,EJ32+EI33-ER32,IF(A33&lt;'Données projet'!$A$192,$EG$205^A33,IF(A33='Données projet'!$A$192,'Données projet'!$B$192,EJ32+EI33-ER32)))</f>
        <v>116.00000000000001</v>
      </c>
      <c r="EK33" s="17">
        <f>EJ33*VLOOKUP('Données projet'!$B$15,Paramètres!$A$1:$I$89,3,0)*VLOOKUP('Données projet'!$B$15,Paramètres!$A$1:$I$89,5,0)</f>
        <v>99.52800000000002</v>
      </c>
      <c r="EL33" s="13">
        <f t="shared" si="45"/>
        <v>26.849519112903323</v>
      </c>
      <c r="EM33" s="20">
        <f t="shared" si="19"/>
        <v>220.10751245497332</v>
      </c>
      <c r="EN33" s="57">
        <f t="shared" si="20"/>
        <v>513.44084578830666</v>
      </c>
      <c r="EO33" s="57">
        <f ca="1">AVERAGE(OFFSET($EN$3,0,0,'Données projet'!$E$15+1,1))-AVERAGE(OFFSET($H$3,0,0,'Données projet'!$E$15+1,1))</f>
        <v>447.10969593632467</v>
      </c>
      <c r="EP33" s="57">
        <f t="shared" si="46"/>
        <v>256.77417912163997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28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7" t="e">
        <f t="shared" si="23"/>
        <v>#N/A</v>
      </c>
      <c r="FJ33" s="57" t="e">
        <f ca="1">AVERAGE(OFFSET($FI$3,0,0,'Données projet'!$E$16+1,1))-AVERAGE(OFFSET($H$3,0,0,'Données projet'!$E$16+1,1))</f>
        <v>#N/A</v>
      </c>
      <c r="FK33" s="57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7" t="e">
        <f t="shared" si="26"/>
        <v>#N/A</v>
      </c>
      <c r="GE33" s="57" t="e">
        <f ca="1">AVERAGE(OFFSET($GD$3,0,0,'Données projet'!$E$17+1,1))-AVERAGE(OFFSET($H$3,0,0,'Données projet'!$E$17+1,1))</f>
        <v>#N/A</v>
      </c>
      <c r="GF33" s="57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7" t="e">
        <f t="shared" si="29"/>
        <v>#N/A</v>
      </c>
      <c r="GZ33" s="57" t="e">
        <f ca="1">AVERAGE(OFFSET($GY$3,0,0,'Données projet'!$E$18+1,1))-AVERAGE(OFFSET($H$3,0,0,'Données projet'!$E$18+1,1))</f>
        <v>#N/A</v>
      </c>
      <c r="HA33" s="57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0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4">
        <f t="shared" si="1"/>
        <v>256.66666666666669</v>
      </c>
      <c r="I34" s="6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7">
        <f t="shared" si="0"/>
        <v>771.98274850644054</v>
      </c>
      <c r="S34" s="57">
        <f ca="1">AVERAGE(OFFSET($R$3,0,0,'Données projet'!$E$9+1,1))-AVERAGE(OFFSET($H$3,0,0,'Données projet'!$E$9+1,1))</f>
        <v>443.34220761968419</v>
      </c>
      <c r="T34" s="57">
        <f t="shared" si="34"/>
        <v>546.58234447298014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21.337427361693404</v>
      </c>
      <c r="AB34" s="21">
        <f>EXP(-LN(2)/2)*AB33+(1-EXP(-LN(2)/2))/(LN(2)/2)*V34*Y34*VLOOKUP('Données projet'!$B$9,Paramètres!$A$1:$I$89,3,0)*0.475*44/12</f>
        <v>4.2721955166417391</v>
      </c>
      <c r="AC34" s="22">
        <f t="shared" si="3"/>
        <v>25.609622878335145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34</v>
      </c>
      <c r="AI34" s="13">
        <f>IF('Données projet'!$A$62&gt;35,AI33+AH34-AQ33,IF(A34&lt;'Données projet'!$A$62,$AF$205^A34,IF(A34='Données projet'!$A$62,'Données projet'!$B$62,AI33+AH34-AQ33)))</f>
        <v>365</v>
      </c>
      <c r="AJ34" s="13">
        <f>AI34*VLOOKUP('Données projet'!$B$10,Paramètres!$A$1:$I$89,3,0)*VLOOKUP('Données projet'!$B$10,Paramètres!$A$1:$I$89,5,0)</f>
        <v>170.82000000000002</v>
      </c>
      <c r="AK34" s="13">
        <f t="shared" si="35"/>
        <v>43.273624843069463</v>
      </c>
      <c r="AL34" s="20">
        <f t="shared" si="4"/>
        <v>372.87972993501268</v>
      </c>
      <c r="AM34" s="57">
        <f t="shared" si="5"/>
        <v>666.21306326834599</v>
      </c>
      <c r="AN34" s="57">
        <f ca="1">AVERAGE(OFFSET($AM$3,0,0,'Données projet'!$E$10+1,1))-AVERAGE(OFFSET($H$3,0,0,'Données projet'!$E$10+1,1))</f>
        <v>524.3999528951972</v>
      </c>
      <c r="AO34" s="57">
        <f t="shared" si="36"/>
        <v>459.3547783500515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51.979378119988844</v>
      </c>
      <c r="AW34" s="21">
        <f>EXP(-LN(2)/2)*AW33+(1-EXP(-LN(2)/2))/(LN(2)/2)*AQ34*AT34*VLOOKUP('Données projet'!$B$10,Paramètres!$A$1:$I$89,3,0)*0.475*44/12</f>
        <v>0.84304141963873613</v>
      </c>
      <c r="AX34" s="21">
        <f t="shared" si="6"/>
        <v>52.822419539627582</v>
      </c>
      <c r="AY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30.8</v>
      </c>
      <c r="BD34" s="12">
        <f>IF('Données projet'!$A$88&gt;35,BD33+BC34-BL33,IF(A34&lt;'Données projet'!$A$88,$BA$205^A34,IF(A34='Données projet'!$A$88,'Données projet'!$B$88,BD33+BC34-BL33)))</f>
        <v>329.80000000000007</v>
      </c>
      <c r="BE34" s="13">
        <f>BD34*VLOOKUP('Données projet'!$B$11,Paramètres!$A$1:$I$89,3,0)*VLOOKUP('Données projet'!$B$11,Paramètres!$A$1:$I$89,5,0)</f>
        <v>158.63380000000004</v>
      </c>
      <c r="BF34" s="13">
        <f t="shared" si="37"/>
        <v>40.534211557493919</v>
      </c>
      <c r="BG34" s="20">
        <f t="shared" si="7"/>
        <v>346.88428679596865</v>
      </c>
      <c r="BH34" s="57">
        <f t="shared" si="8"/>
        <v>640.21762012930196</v>
      </c>
      <c r="BI34" s="57">
        <f ca="1">AVERAGE(OFFSET($BH$3,0,0,'Données projet'!$E$11+1,1))-AVERAGE(OFFSET($H$3,0,0,'Données projet'!$E$11+1,1))</f>
        <v>495.6473104257044</v>
      </c>
      <c r="BJ34" s="57">
        <f t="shared" si="38"/>
        <v>430.92527296485201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48.971312256563571</v>
      </c>
      <c r="BR34" s="21">
        <f>EXP(-LN(2)/2)*BR33+(1-EXP(-LN(2)/2))/(LN(2)/2)*BL34*BO34*VLOOKUP('Données projet'!$B$11,Paramètres!$A$1:$I$89,3,0)*0.475*44/12</f>
        <v>0.51746871089707924</v>
      </c>
      <c r="BS34" s="22">
        <f t="shared" si="9"/>
        <v>49.488780967460649</v>
      </c>
      <c r="BT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7" t="e">
        <f t="shared" si="11"/>
        <v>#NUM!</v>
      </c>
      <c r="CD34" s="57">
        <f ca="1">AVERAGE(OFFSET($CC$3,0,0,'Données projet'!$E$12+1,1))-AVERAGE(OFFSET($H$3,0,0,'Données projet'!$E$12+1,1))</f>
        <v>187.80389738728508</v>
      </c>
      <c r="CE34" s="57">
        <f t="shared" si="40"/>
        <v>439.28159165815265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121.08790965489732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0.87265404796821611</v>
      </c>
      <c r="CN34" s="22">
        <f t="shared" si="12"/>
        <v>121.96056370286553</v>
      </c>
      <c r="CO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</v>
      </c>
      <c r="CT34" s="12">
        <f>IF('Données projet'!$A$140&gt;35,CT33+CS34-DB33,IF(A34&lt;'Données projet'!$A$140,$CQ$205^A34,IF(A34='Données projet'!$A$140,'Données projet'!$B$140,CT33+CS34-DB33)))</f>
        <v>84</v>
      </c>
      <c r="CU34" s="17">
        <f>CT34*VLOOKUP('Données projet'!$B$13,Paramètres!$A$1:$I$89,3,0)*VLOOKUP('Données projet'!$B$13,Paramètres!$A$1:$I$89,5,0)</f>
        <v>76.003200000000007</v>
      </c>
      <c r="CV34" s="13">
        <f t="shared" si="41"/>
        <v>21.157049992000456</v>
      </c>
      <c r="CW34" s="20">
        <f t="shared" si="13"/>
        <v>169.22076873606747</v>
      </c>
      <c r="CX34" s="57">
        <f t="shared" si="14"/>
        <v>462.55410206940076</v>
      </c>
      <c r="CY34" s="57">
        <f ca="1">AVERAGE(OFFSET($CX$3,0,0,'Données projet'!$E$13+1,1))-AVERAGE(OFFSET($H$3,0,0,'Données projet'!$E$13+1,1))</f>
        <v>364.3481978218424</v>
      </c>
      <c r="CZ34" s="57">
        <f t="shared" si="42"/>
        <v>231.36959598460686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5.5</v>
      </c>
      <c r="DO34" s="12">
        <f>IF('Données projet'!$A$166&gt;35,DO33+DN34-DW33,IF(A34&lt;'Données projet'!$A$166,$DL$205^A34,IF(A34='Données projet'!$A$166,'Données projet'!$B$166,DO33+DN34-DW33)))</f>
        <v>114</v>
      </c>
      <c r="DP34" s="17">
        <f>DO34*VLOOKUP('Données projet'!$B$14,Paramètres!$A$1:$I$89,3,0)*VLOOKUP('Données projet'!$B$14,Paramètres!$A$1:$I$89,5,0)</f>
        <v>83.584800000000001</v>
      </c>
      <c r="DQ34" s="13">
        <f t="shared" si="43"/>
        <v>23.011437736237617</v>
      </c>
      <c r="DR34" s="20">
        <f t="shared" si="16"/>
        <v>185.65511405728049</v>
      </c>
      <c r="DS34" s="57">
        <f t="shared" si="17"/>
        <v>478.98844739061383</v>
      </c>
      <c r="DT34" s="57">
        <f ca="1">AVERAGE(OFFSET($DS$3,0,0,'Données projet'!$E$14+1,1))-AVERAGE(OFFSET($H$3,0,0,'Données projet'!$E$14+1,1))</f>
        <v>239.25212250019609</v>
      </c>
      <c r="DU34" s="57">
        <f t="shared" si="44"/>
        <v>213.58492101729695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10.199999999999999</v>
      </c>
      <c r="EJ34" s="12">
        <f>IF('Données projet'!$A$192&gt;35,EJ33+EI34-ER33,IF(A34&lt;'Données projet'!$A$192,$EG$205^A34,IF(A34='Données projet'!$A$192,'Données projet'!$B$192,EJ33+EI34-ER33)))</f>
        <v>98.200000000000017</v>
      </c>
      <c r="EK34" s="17">
        <f>EJ34*VLOOKUP('Données projet'!$B$15,Paramètres!$A$1:$I$89,3,0)*VLOOKUP('Données projet'!$B$15,Paramètres!$A$1:$I$89,5,0)</f>
        <v>84.255600000000015</v>
      </c>
      <c r="EL34" s="13">
        <f t="shared" si="45"/>
        <v>23.174541098743855</v>
      </c>
      <c r="EM34" s="20">
        <f t="shared" si="19"/>
        <v>187.10749574697891</v>
      </c>
      <c r="EN34" s="57">
        <f t="shared" si="20"/>
        <v>480.44082908031226</v>
      </c>
      <c r="EO34" s="57">
        <f ca="1">AVERAGE(OFFSET($EN$3,0,0,'Données projet'!$E$15+1,1))-AVERAGE(OFFSET($H$3,0,0,'Données projet'!$E$15+1,1))</f>
        <v>447.10969593632467</v>
      </c>
      <c r="EP34" s="57">
        <f t="shared" si="46"/>
        <v>256.77417912163997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7" t="e">
        <f t="shared" si="23"/>
        <v>#N/A</v>
      </c>
      <c r="FJ34" s="57" t="e">
        <f ca="1">AVERAGE(OFFSET($FI$3,0,0,'Données projet'!$E$16+1,1))-AVERAGE(OFFSET($H$3,0,0,'Données projet'!$E$16+1,1))</f>
        <v>#N/A</v>
      </c>
      <c r="FK34" s="57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7" t="e">
        <f t="shared" si="26"/>
        <v>#N/A</v>
      </c>
      <c r="GE34" s="57" t="e">
        <f ca="1">AVERAGE(OFFSET($GD$3,0,0,'Données projet'!$E$17+1,1))-AVERAGE(OFFSET($H$3,0,0,'Données projet'!$E$17+1,1))</f>
        <v>#N/A</v>
      </c>
      <c r="GF34" s="57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7" t="e">
        <f t="shared" si="29"/>
        <v>#N/A</v>
      </c>
      <c r="GZ34" s="57" t="e">
        <f ca="1">AVERAGE(OFFSET($GY$3,0,0,'Données projet'!$E$18+1,1))-AVERAGE(OFFSET($H$3,0,0,'Données projet'!$E$18+1,1))</f>
        <v>#N/A</v>
      </c>
      <c r="HA34" s="57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0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4">
        <f t="shared" si="1"/>
        <v>256.66666666666669</v>
      </c>
      <c r="I35" s="6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7">
        <f t="shared" si="0"/>
        <v>804.66922146044772</v>
      </c>
      <c r="S35" s="57">
        <f ca="1">AVERAGE(OFFSET($R$3,0,0,'Données projet'!$E$9+1,1))-AVERAGE(OFFSET($H$3,0,0,'Données projet'!$E$9+1,1))</f>
        <v>443.34220761968419</v>
      </c>
      <c r="T35" s="57">
        <f t="shared" si="34"/>
        <v>546.58234447298014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20.75395428840136</v>
      </c>
      <c r="AB35" s="21">
        <f>EXP(-LN(2)/2)*AB34+(1-EXP(-LN(2)/2))/(LN(2)/2)*V35*Y35*VLOOKUP('Données projet'!$B$9,Paramètres!$A$1:$I$89,3,0)*0.475*44/12</f>
        <v>3.0208984203721396</v>
      </c>
      <c r="AC35" s="22">
        <f t="shared" si="3"/>
        <v>23.774852708773501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34</v>
      </c>
      <c r="AI35" s="13">
        <f>IF('Données projet'!$A$62&gt;35,AI34+AH35-AQ34,IF(A35&lt;'Données projet'!$A$62,$AF$205^A35,IF(A35='Données projet'!$A$62,'Données projet'!$B$62,AI34+AH35-AQ34)))</f>
        <v>399</v>
      </c>
      <c r="AJ35" s="13">
        <f>AI35*VLOOKUP('Données projet'!$B$10,Paramètres!$A$1:$I$89,3,0)*VLOOKUP('Données projet'!$B$10,Paramètres!$A$1:$I$89,5,0)</f>
        <v>186.732</v>
      </c>
      <c r="AK35" s="13">
        <f t="shared" si="35"/>
        <v>46.81671651923142</v>
      </c>
      <c r="AL35" s="20">
        <f t="shared" si="4"/>
        <v>406.764014604328</v>
      </c>
      <c r="AM35" s="57">
        <f t="shared" si="5"/>
        <v>700.09734793766131</v>
      </c>
      <c r="AN35" s="57">
        <f ca="1">AVERAGE(OFFSET($AM$3,0,0,'Données projet'!$E$10+1,1))-AVERAGE(OFFSET($H$3,0,0,'Données projet'!$E$10+1,1))</f>
        <v>524.3999528951972</v>
      </c>
      <c r="AO35" s="57">
        <f t="shared" si="36"/>
        <v>459.3547783500515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50.557999291821055</v>
      </c>
      <c r="AW35" s="21">
        <f>EXP(-LN(2)/2)*AW34+(1-EXP(-LN(2)/2))/(LN(2)/2)*AQ35*AT35*VLOOKUP('Données projet'!$B$10,Paramètres!$A$1:$I$89,3,0)*0.475*44/12</f>
        <v>0.59612030464768417</v>
      </c>
      <c r="AX35" s="21">
        <f t="shared" si="6"/>
        <v>51.154119596468739</v>
      </c>
      <c r="AY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30.8</v>
      </c>
      <c r="BD35" s="12">
        <f>IF('Données projet'!$A$88&gt;35,BD34+BC35-BL34,IF(A35&lt;'Données projet'!$A$88,$BA$205^A35,IF(A35='Données projet'!$A$88,'Données projet'!$B$88,BD34+BC35-BL34)))</f>
        <v>360.60000000000008</v>
      </c>
      <c r="BE35" s="13">
        <f>BD35*VLOOKUP('Données projet'!$B$11,Paramètres!$A$1:$I$89,3,0)*VLOOKUP('Données projet'!$B$11,Paramètres!$A$1:$I$89,5,0)</f>
        <v>173.44860000000003</v>
      </c>
      <c r="BF35" s="13">
        <f t="shared" si="37"/>
        <v>43.861490184725845</v>
      </c>
      <c r="BG35" s="20">
        <f t="shared" si="7"/>
        <v>378.48174040506427</v>
      </c>
      <c r="BH35" s="57">
        <f t="shared" si="8"/>
        <v>671.81507373839759</v>
      </c>
      <c r="BI35" s="57">
        <f ca="1">AVERAGE(OFFSET($BH$3,0,0,'Données projet'!$E$11+1,1))-AVERAGE(OFFSET($H$3,0,0,'Données projet'!$E$11+1,1))</f>
        <v>495.6473104257044</v>
      </c>
      <c r="BJ35" s="57">
        <f t="shared" si="38"/>
        <v>430.92527296485201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47.632189147618455</v>
      </c>
      <c r="BR35" s="21">
        <f>EXP(-LN(2)/2)*BR34+(1-EXP(-LN(2)/2))/(LN(2)/2)*BL35*BO35*VLOOKUP('Données projet'!$B$11,Paramètres!$A$1:$I$89,3,0)*0.475*44/12</f>
        <v>0.36590563452718583</v>
      </c>
      <c r="BS35" s="22">
        <f t="shared" si="9"/>
        <v>47.998094782145643</v>
      </c>
      <c r="BT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7" t="e">
        <f t="shared" si="11"/>
        <v>#NUM!</v>
      </c>
      <c r="CD35" s="57">
        <f ca="1">AVERAGE(OFFSET($CC$3,0,0,'Données projet'!$E$12+1,1))-AVERAGE(OFFSET($H$3,0,0,'Données projet'!$E$12+1,1))</f>
        <v>187.80389738728508</v>
      </c>
      <c r="CE35" s="57">
        <f t="shared" si="40"/>
        <v>439.28159165815265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118.71344960289696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0.61705959494821638</v>
      </c>
      <c r="CN35" s="22">
        <f t="shared" si="12"/>
        <v>119.33050919784517</v>
      </c>
      <c r="CO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</v>
      </c>
      <c r="CT35" s="12">
        <f>IF('Données projet'!$A$140&gt;35,CT34+CS35-DB34,IF(A35&lt;'Données projet'!$A$140,$CQ$205^A35,IF(A35='Données projet'!$A$140,'Données projet'!$B$140,CT34+CS35-DB34)))</f>
        <v>92</v>
      </c>
      <c r="CU35" s="17">
        <f>CT35*VLOOKUP('Données projet'!$B$13,Paramètres!$A$1:$I$89,3,0)*VLOOKUP('Données projet'!$B$13,Paramètres!$A$1:$I$89,5,0)</f>
        <v>83.241600000000005</v>
      </c>
      <c r="CV35" s="13">
        <f t="shared" si="41"/>
        <v>22.927930643846508</v>
      </c>
      <c r="CW35" s="20">
        <f t="shared" si="13"/>
        <v>184.91193253803269</v>
      </c>
      <c r="CX35" s="57">
        <f t="shared" si="14"/>
        <v>478.24526587136597</v>
      </c>
      <c r="CY35" s="57">
        <f ca="1">AVERAGE(OFFSET($CX$3,0,0,'Données projet'!$E$13+1,1))-AVERAGE(OFFSET($H$3,0,0,'Données projet'!$E$13+1,1))</f>
        <v>364.3481978218424</v>
      </c>
      <c r="CZ35" s="57">
        <f t="shared" si="42"/>
        <v>231.36959598460686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5.5</v>
      </c>
      <c r="DO35" s="12">
        <f>IF('Données projet'!$A$166&gt;35,DO34+DN35-DW34,IF(A35&lt;'Données projet'!$A$166,$DL$205^A35,IF(A35='Données projet'!$A$166,'Données projet'!$B$166,DO34+DN35-DW34)))</f>
        <v>119.5</v>
      </c>
      <c r="DP35" s="17">
        <f>DO35*VLOOKUP('Données projet'!$B$14,Paramètres!$A$1:$I$89,3,0)*VLOOKUP('Données projet'!$B$14,Paramètres!$A$1:$I$89,5,0)</f>
        <v>87.617400000000004</v>
      </c>
      <c r="DQ35" s="13">
        <f t="shared" si="43"/>
        <v>23.989705046942845</v>
      </c>
      <c r="DR35" s="20">
        <f t="shared" si="16"/>
        <v>194.38237462342545</v>
      </c>
      <c r="DS35" s="57">
        <f t="shared" si="17"/>
        <v>487.71570795675876</v>
      </c>
      <c r="DT35" s="57">
        <f ca="1">AVERAGE(OFFSET($DS$3,0,0,'Données projet'!$E$14+1,1))-AVERAGE(OFFSET($H$3,0,0,'Données projet'!$E$14+1,1))</f>
        <v>239.25212250019609</v>
      </c>
      <c r="DU35" s="57">
        <f t="shared" si="44"/>
        <v>213.58492101729695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10.199999999999999</v>
      </c>
      <c r="EJ35" s="12">
        <f>IF('Données projet'!$A$192&gt;35,EJ34+EI35-ER34,IF(A35&lt;'Données projet'!$A$192,$EG$205^A35,IF(A35='Données projet'!$A$192,'Données projet'!$B$192,EJ34+EI35-ER34)))</f>
        <v>108.40000000000002</v>
      </c>
      <c r="EK35" s="17">
        <f>EJ35*VLOOKUP('Données projet'!$B$15,Paramètres!$A$1:$I$89,3,0)*VLOOKUP('Données projet'!$B$15,Paramètres!$A$1:$I$89,5,0)</f>
        <v>93.007200000000026</v>
      </c>
      <c r="EL35" s="13">
        <f t="shared" si="45"/>
        <v>25.289096064617418</v>
      </c>
      <c r="EM35" s="20">
        <f t="shared" si="19"/>
        <v>206.03271564587536</v>
      </c>
      <c r="EN35" s="57">
        <f t="shared" si="20"/>
        <v>499.3660489792087</v>
      </c>
      <c r="EO35" s="57">
        <f ca="1">AVERAGE(OFFSET($EN$3,0,0,'Données projet'!$E$15+1,1))-AVERAGE(OFFSET($H$3,0,0,'Données projet'!$E$15+1,1))</f>
        <v>447.10969593632467</v>
      </c>
      <c r="EP35" s="57">
        <f t="shared" si="46"/>
        <v>256.77417912163997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7" t="e">
        <f t="shared" si="23"/>
        <v>#N/A</v>
      </c>
      <c r="FJ35" s="57" t="e">
        <f ca="1">AVERAGE(OFFSET($FI$3,0,0,'Données projet'!$E$16+1,1))-AVERAGE(OFFSET($H$3,0,0,'Données projet'!$E$16+1,1))</f>
        <v>#N/A</v>
      </c>
      <c r="FK35" s="57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7" t="e">
        <f t="shared" si="26"/>
        <v>#N/A</v>
      </c>
      <c r="GE35" s="57" t="e">
        <f ca="1">AVERAGE(OFFSET($GD$3,0,0,'Données projet'!$E$17+1,1))-AVERAGE(OFFSET($H$3,0,0,'Données projet'!$E$17+1,1))</f>
        <v>#N/A</v>
      </c>
      <c r="GF35" s="57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7" t="e">
        <f t="shared" si="29"/>
        <v>#N/A</v>
      </c>
      <c r="GZ35" s="57" t="e">
        <f ca="1">AVERAGE(OFFSET($GY$3,0,0,'Données projet'!$E$18+1,1))-AVERAGE(OFFSET($H$3,0,0,'Données projet'!$E$18+1,1))</f>
        <v>#N/A</v>
      </c>
      <c r="HA35" s="57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0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4">
        <f t="shared" si="1"/>
        <v>256.66666666666669</v>
      </c>
      <c r="I36" s="6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7">
        <f t="shared" si="0"/>
        <v>837.31157858767438</v>
      </c>
      <c r="S36" s="57">
        <f ca="1">AVERAGE(OFFSET($R$3,0,0,'Données projet'!$E$9+1,1))-AVERAGE(OFFSET($H$3,0,0,'Données projet'!$E$9+1,1))</f>
        <v>443.34220761968419</v>
      </c>
      <c r="T36" s="57">
        <f t="shared" si="34"/>
        <v>546.58234447298014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20.186436316982004</v>
      </c>
      <c r="AB36" s="21">
        <f>EXP(-LN(2)/2)*AB35+(1-EXP(-LN(2)/2))/(LN(2)/2)*V36*Y36*VLOOKUP('Données projet'!$B$9,Paramètres!$A$1:$I$89,3,0)*0.475*44/12</f>
        <v>2.1360977583208696</v>
      </c>
      <c r="AC36" s="22">
        <f t="shared" si="3"/>
        <v>22.322534075302872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34</v>
      </c>
      <c r="AI36" s="13">
        <f>IF('Données projet'!$A$62&gt;35,AI35+AH36-AQ35,IF(A36&lt;'Données projet'!$A$62,$AF$205^A36,IF(A36='Données projet'!$A$62,'Données projet'!$B$62,AI35+AH36-AQ35)))</f>
        <v>433</v>
      </c>
      <c r="AJ36" s="13">
        <f>AI36*VLOOKUP('Données projet'!$B$10,Paramètres!$A$1:$I$89,3,0)*VLOOKUP('Données projet'!$B$10,Paramètres!$A$1:$I$89,5,0)</f>
        <v>202.64400000000001</v>
      </c>
      <c r="AK36" s="13">
        <f t="shared" si="35"/>
        <v>50.324794005167611</v>
      </c>
      <c r="AL36" s="20">
        <f t="shared" si="4"/>
        <v>440.58731622566688</v>
      </c>
      <c r="AM36" s="57">
        <f t="shared" si="5"/>
        <v>733.92064955900014</v>
      </c>
      <c r="AN36" s="57">
        <f ca="1">AVERAGE(OFFSET($AM$3,0,0,'Données projet'!$E$10+1,1))-AVERAGE(OFFSET($H$3,0,0,'Données projet'!$E$10+1,1))</f>
        <v>524.3999528951972</v>
      </c>
      <c r="AO36" s="57">
        <f t="shared" si="36"/>
        <v>459.3547783500515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49.17548814245658</v>
      </c>
      <c r="AW36" s="21">
        <f>EXP(-LN(2)/2)*AW35+(1-EXP(-LN(2)/2))/(LN(2)/2)*AQ36*AT36*VLOOKUP('Données projet'!$B$10,Paramètres!$A$1:$I$89,3,0)*0.475*44/12</f>
        <v>0.42152070981936807</v>
      </c>
      <c r="AX36" s="21">
        <f t="shared" si="6"/>
        <v>49.597008852275948</v>
      </c>
      <c r="AY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30.8</v>
      </c>
      <c r="BD36" s="12">
        <f>IF('Données projet'!$A$88&gt;35,BD35+BC36-BL35,IF(A36&lt;'Données projet'!$A$88,$BA$205^A36,IF(A36='Données projet'!$A$88,'Données projet'!$B$88,BD35+BC36-BL35)))</f>
        <v>391.40000000000009</v>
      </c>
      <c r="BE36" s="13">
        <f>BD36*VLOOKUP('Données projet'!$B$11,Paramètres!$A$1:$I$89,3,0)*VLOOKUP('Données projet'!$B$11,Paramètres!$A$1:$I$89,5,0)</f>
        <v>188.26340000000005</v>
      </c>
      <c r="BF36" s="13">
        <f t="shared" si="37"/>
        <v>47.155810314963865</v>
      </c>
      <c r="BG36" s="20">
        <f t="shared" si="7"/>
        <v>410.02179129856216</v>
      </c>
      <c r="BH36" s="57">
        <f t="shared" si="8"/>
        <v>703.35512463189548</v>
      </c>
      <c r="BI36" s="57">
        <f ca="1">AVERAGE(OFFSET($BH$3,0,0,'Données projet'!$E$11+1,1))-AVERAGE(OFFSET($H$3,0,0,'Données projet'!$E$11+1,1))</f>
        <v>495.6473104257044</v>
      </c>
      <c r="BJ36" s="57">
        <f t="shared" si="38"/>
        <v>430.92527296485201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46.329684430508863</v>
      </c>
      <c r="BR36" s="21">
        <f>EXP(-LN(2)/2)*BR35+(1-EXP(-LN(2)/2))/(LN(2)/2)*BL36*BO36*VLOOKUP('Données projet'!$B$11,Paramètres!$A$1:$I$89,3,0)*0.475*44/12</f>
        <v>0.25873435544853962</v>
      </c>
      <c r="BS36" s="22">
        <f t="shared" si="9"/>
        <v>46.588418785957401</v>
      </c>
      <c r="BT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7" t="e">
        <f t="shared" si="11"/>
        <v>#NUM!</v>
      </c>
      <c r="CD36" s="57">
        <f ca="1">AVERAGE(OFFSET($CC$3,0,0,'Données projet'!$E$12+1,1))-AVERAGE(OFFSET($H$3,0,0,'Données projet'!$E$12+1,1))</f>
        <v>187.80389738728508</v>
      </c>
      <c r="CE36" s="57">
        <f t="shared" si="40"/>
        <v>439.28159165815265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116.3855512642387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0.43632702398410811</v>
      </c>
      <c r="CN36" s="22">
        <f t="shared" si="12"/>
        <v>116.82187828822281</v>
      </c>
      <c r="CO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</v>
      </c>
      <c r="CT36" s="12">
        <f>IF('Données projet'!$A$140&gt;35,CT35+CS36-DB35,IF(A36&lt;'Données projet'!$A$140,$CQ$205^A36,IF(A36='Données projet'!$A$140,'Données projet'!$B$140,CT35+CS36-DB35)))</f>
        <v>100</v>
      </c>
      <c r="CU36" s="17">
        <f>CT36*VLOOKUP('Données projet'!$B$13,Paramètres!$A$1:$I$89,3,0)*VLOOKUP('Données projet'!$B$13,Paramètres!$A$1:$I$89,5,0)</f>
        <v>90.47999999999999</v>
      </c>
      <c r="CV36" s="13">
        <f t="shared" si="41"/>
        <v>24.680953573367994</v>
      </c>
      <c r="CW36" s="20">
        <f t="shared" si="13"/>
        <v>200.57199414028256</v>
      </c>
      <c r="CX36" s="57">
        <f t="shared" si="14"/>
        <v>493.9053274736159</v>
      </c>
      <c r="CY36" s="57">
        <f ca="1">AVERAGE(OFFSET($CX$3,0,0,'Données projet'!$E$13+1,1))-AVERAGE(OFFSET($H$3,0,0,'Données projet'!$E$13+1,1))</f>
        <v>364.3481978218424</v>
      </c>
      <c r="CZ36" s="57">
        <f t="shared" si="42"/>
        <v>231.36959598460686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5.5</v>
      </c>
      <c r="DO36" s="12">
        <f>IF('Données projet'!$A$166&gt;35,DO35+DN36-DW35,IF(A36&lt;'Données projet'!$A$166,$DL$205^A36,IF(A36='Données projet'!$A$166,'Données projet'!$B$166,DO35+DN36-DW35)))</f>
        <v>125</v>
      </c>
      <c r="DP36" s="17">
        <f>DO36*VLOOKUP('Données projet'!$B$14,Paramètres!$A$1:$I$89,3,0)*VLOOKUP('Données projet'!$B$14,Paramètres!$A$1:$I$89,5,0)</f>
        <v>91.65</v>
      </c>
      <c r="DQ36" s="13">
        <f t="shared" si="43"/>
        <v>24.962743528770854</v>
      </c>
      <c r="DR36" s="20">
        <f t="shared" si="16"/>
        <v>203.10052831260927</v>
      </c>
      <c r="DS36" s="57">
        <f t="shared" si="17"/>
        <v>496.43386164594256</v>
      </c>
      <c r="DT36" s="57">
        <f ca="1">AVERAGE(OFFSET($DS$3,0,0,'Données projet'!$E$14+1,1))-AVERAGE(OFFSET($H$3,0,0,'Données projet'!$E$14+1,1))</f>
        <v>239.25212250019609</v>
      </c>
      <c r="DU36" s="57">
        <f t="shared" si="44"/>
        <v>213.58492101729695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10.199999999999999</v>
      </c>
      <c r="EJ36" s="12">
        <f>IF('Données projet'!$A$192&gt;35,EJ35+EI36-ER35,IF(A36&lt;'Données projet'!$A$192,$EG$205^A36,IF(A36='Données projet'!$A$192,'Données projet'!$B$192,EJ35+EI36-ER35)))</f>
        <v>118.60000000000002</v>
      </c>
      <c r="EK36" s="17">
        <f>EJ36*VLOOKUP('Données projet'!$B$15,Paramètres!$A$1:$I$89,3,0)*VLOOKUP('Données projet'!$B$15,Paramètres!$A$1:$I$89,5,0)</f>
        <v>101.75880000000004</v>
      </c>
      <c r="EL36" s="13">
        <f t="shared" si="45"/>
        <v>27.380581268956313</v>
      </c>
      <c r="EM36" s="20">
        <f t="shared" si="19"/>
        <v>224.91775571009896</v>
      </c>
      <c r="EN36" s="57">
        <f t="shared" si="20"/>
        <v>518.25108904343233</v>
      </c>
      <c r="EO36" s="57">
        <f ca="1">AVERAGE(OFFSET($EN$3,0,0,'Données projet'!$E$15+1,1))-AVERAGE(OFFSET($H$3,0,0,'Données projet'!$E$15+1,1))</f>
        <v>447.10969593632467</v>
      </c>
      <c r="EP36" s="57">
        <f t="shared" si="46"/>
        <v>256.77417912163997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7" t="e">
        <f t="shared" si="23"/>
        <v>#N/A</v>
      </c>
      <c r="FJ36" s="57" t="e">
        <f ca="1">AVERAGE(OFFSET($FI$3,0,0,'Données projet'!$E$16+1,1))-AVERAGE(OFFSET($H$3,0,0,'Données projet'!$E$16+1,1))</f>
        <v>#N/A</v>
      </c>
      <c r="FK36" s="57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7" t="e">
        <f t="shared" si="26"/>
        <v>#N/A</v>
      </c>
      <c r="GE36" s="57" t="e">
        <f ca="1">AVERAGE(OFFSET($GD$3,0,0,'Données projet'!$E$17+1,1))-AVERAGE(OFFSET($H$3,0,0,'Données projet'!$E$17+1,1))</f>
        <v>#N/A</v>
      </c>
      <c r="GF36" s="57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7" t="e">
        <f t="shared" si="29"/>
        <v>#N/A</v>
      </c>
      <c r="GZ36" s="57" t="e">
        <f ca="1">AVERAGE(OFFSET($GY$3,0,0,'Données projet'!$E$18+1,1))-AVERAGE(OFFSET($H$3,0,0,'Données projet'!$E$18+1,1))</f>
        <v>#N/A</v>
      </c>
      <c r="HA36" s="57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0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4">
        <f t="shared" si="1"/>
        <v>256.66666666666669</v>
      </c>
      <c r="I37" s="6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7">
        <f t="shared" si="0"/>
        <v>869.91283508544802</v>
      </c>
      <c r="S37" s="57">
        <f ca="1">AVERAGE(OFFSET($R$3,0,0,'Données projet'!$E$9+1,1))-AVERAGE(OFFSET($H$3,0,0,'Données projet'!$E$9+1,1))</f>
        <v>443.34220761968419</v>
      </c>
      <c r="T37" s="57">
        <f t="shared" si="34"/>
        <v>546.58234447298014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19.634437154335583</v>
      </c>
      <c r="AB37" s="21">
        <f>EXP(-LN(2)/2)*AB36+(1-EXP(-LN(2)/2))/(LN(2)/2)*V37*Y37*VLOOKUP('Données projet'!$B$9,Paramètres!$A$1:$I$89,3,0)*0.475*44/12</f>
        <v>1.5104492101860698</v>
      </c>
      <c r="AC37" s="22">
        <f t="shared" si="3"/>
        <v>21.144886364521653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34</v>
      </c>
      <c r="AI37" s="13">
        <f>IF('Données projet'!$A$62&gt;35,AI36+AH37-AQ36,IF(A37&lt;'Données projet'!$A$62,$AF$205^A37,IF(A37='Données projet'!$A$62,'Données projet'!$B$62,AI36+AH37-AQ36)))</f>
        <v>467</v>
      </c>
      <c r="AJ37" s="13">
        <f>AI37*VLOOKUP('Données projet'!$B$10,Paramètres!$A$1:$I$89,3,0)*VLOOKUP('Données projet'!$B$10,Paramètres!$A$1:$I$89,5,0)</f>
        <v>218.55600000000001</v>
      </c>
      <c r="AK37" s="13">
        <f t="shared" si="35"/>
        <v>53.800919270845718</v>
      </c>
      <c r="AL37" s="20">
        <f t="shared" si="4"/>
        <v>474.35496773005622</v>
      </c>
      <c r="AM37" s="57">
        <f t="shared" si="5"/>
        <v>767.68830106338953</v>
      </c>
      <c r="AN37" s="57">
        <f ca="1">AVERAGE(OFFSET($AM$3,0,0,'Données projet'!$E$10+1,1))-AVERAGE(OFFSET($H$3,0,0,'Données projet'!$E$10+1,1))</f>
        <v>524.3999528951972</v>
      </c>
      <c r="AO37" s="57">
        <f t="shared" si="36"/>
        <v>459.3547783500515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47.830781833174576</v>
      </c>
      <c r="AW37" s="21">
        <f>EXP(-LN(2)/2)*AW36+(1-EXP(-LN(2)/2))/(LN(2)/2)*AQ37*AT37*VLOOKUP('Données projet'!$B$10,Paramètres!$A$1:$I$89,3,0)*0.475*44/12</f>
        <v>0.29806015232384209</v>
      </c>
      <c r="AX37" s="21">
        <f t="shared" si="6"/>
        <v>48.128841985498418</v>
      </c>
      <c r="AY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30.8</v>
      </c>
      <c r="BD37" s="12">
        <f>IF('Données projet'!$A$88&gt;35,BD36+BC37-BL36,IF(A37&lt;'Données projet'!$A$88,$BA$205^A37,IF(A37='Données projet'!$A$88,'Données projet'!$B$88,BD36+BC37-BL36)))</f>
        <v>422.2000000000001</v>
      </c>
      <c r="BE37" s="13">
        <f>BD37*VLOOKUP('Données projet'!$B$11,Paramètres!$A$1:$I$89,3,0)*VLOOKUP('Données projet'!$B$11,Paramètres!$A$1:$I$89,5,0)</f>
        <v>203.07820000000004</v>
      </c>
      <c r="BF37" s="13">
        <f t="shared" si="37"/>
        <v>50.420060385502047</v>
      </c>
      <c r="BG37" s="20">
        <f t="shared" si="7"/>
        <v>441.50947017141607</v>
      </c>
      <c r="BH37" s="57">
        <f t="shared" si="8"/>
        <v>734.84280350474933</v>
      </c>
      <c r="BI37" s="57">
        <f ca="1">AVERAGE(OFFSET($BH$3,0,0,'Données projet'!$E$11+1,1))-AVERAGE(OFFSET($H$3,0,0,'Données projet'!$E$11+1,1))</f>
        <v>495.6473104257044</v>
      </c>
      <c r="BJ37" s="57">
        <f t="shared" si="38"/>
        <v>430.92527296485201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45.062796773384385</v>
      </c>
      <c r="BR37" s="21">
        <f>EXP(-LN(2)/2)*BR36+(1-EXP(-LN(2)/2))/(LN(2)/2)*BL37*BO37*VLOOKUP('Données projet'!$B$11,Paramètres!$A$1:$I$89,3,0)*0.475*44/12</f>
        <v>0.18295281726359292</v>
      </c>
      <c r="BS37" s="22">
        <f t="shared" si="9"/>
        <v>45.245749590647975</v>
      </c>
      <c r="BT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7" t="e">
        <f t="shared" si="11"/>
        <v>#NUM!</v>
      </c>
      <c r="CD37" s="57">
        <f ca="1">AVERAGE(OFFSET($CC$3,0,0,'Données projet'!$E$12+1,1))-AVERAGE(OFFSET($H$3,0,0,'Données projet'!$E$12+1,1))</f>
        <v>187.80389738728508</v>
      </c>
      <c r="CE37" s="57">
        <f t="shared" si="40"/>
        <v>439.28159165815265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114.10330159212376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0.30852979747410825</v>
      </c>
      <c r="CN37" s="22">
        <f t="shared" si="12"/>
        <v>114.41183138959786</v>
      </c>
      <c r="CO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</v>
      </c>
      <c r="CT37" s="12">
        <f>IF('Données projet'!$A$140&gt;35,CT36+CS37-DB36,IF(A37&lt;'Données projet'!$A$140,$CQ$205^A37,IF(A37='Données projet'!$A$140,'Données projet'!$B$140,CT36+CS37-DB36)))</f>
        <v>108</v>
      </c>
      <c r="CU37" s="17">
        <f>CT37*VLOOKUP('Données projet'!$B$13,Paramètres!$A$1:$I$89,3,0)*VLOOKUP('Données projet'!$B$13,Paramètres!$A$1:$I$89,5,0)</f>
        <v>97.718399999999988</v>
      </c>
      <c r="CV37" s="13">
        <f t="shared" si="41"/>
        <v>26.417709819192194</v>
      </c>
      <c r="CW37" s="20">
        <f t="shared" si="13"/>
        <v>216.20372460175972</v>
      </c>
      <c r="CX37" s="57">
        <f t="shared" si="14"/>
        <v>509.537057935093</v>
      </c>
      <c r="CY37" s="57">
        <f ca="1">AVERAGE(OFFSET($CX$3,0,0,'Données projet'!$E$13+1,1))-AVERAGE(OFFSET($H$3,0,0,'Données projet'!$E$13+1,1))</f>
        <v>364.3481978218424</v>
      </c>
      <c r="CZ37" s="57">
        <f t="shared" si="42"/>
        <v>231.36959598460686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5.5</v>
      </c>
      <c r="DO37" s="12">
        <f>IF('Données projet'!$A$166&gt;35,DO36+DN37-DW36,IF(A37&lt;'Données projet'!$A$166,$DL$205^A37,IF(A37='Données projet'!$A$166,'Données projet'!$B$166,DO36+DN37-DW36)))</f>
        <v>130.5</v>
      </c>
      <c r="DP37" s="17">
        <f>DO37*VLOOKUP('Données projet'!$B$14,Paramètres!$A$1:$I$89,3,0)*VLOOKUP('Données projet'!$B$14,Paramètres!$A$1:$I$89,5,0)</f>
        <v>95.682599999999994</v>
      </c>
      <c r="DQ37" s="13">
        <f t="shared" si="43"/>
        <v>25.930809542453641</v>
      </c>
      <c r="DR37" s="20">
        <f t="shared" si="16"/>
        <v>211.81002161977344</v>
      </c>
      <c r="DS37" s="57">
        <f t="shared" si="17"/>
        <v>505.14335495310672</v>
      </c>
      <c r="DT37" s="57">
        <f ca="1">AVERAGE(OFFSET($DS$3,0,0,'Données projet'!$E$14+1,1))-AVERAGE(OFFSET($H$3,0,0,'Données projet'!$E$14+1,1))</f>
        <v>239.25212250019609</v>
      </c>
      <c r="DU37" s="57">
        <f t="shared" si="44"/>
        <v>213.58492101729695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10.199999999999999</v>
      </c>
      <c r="EJ37" s="12">
        <f>IF('Données projet'!$A$192&gt;35,EJ36+EI37-ER36,IF(A37&lt;'Données projet'!$A$192,$EG$205^A37,IF(A37='Données projet'!$A$192,'Données projet'!$B$192,EJ36+EI37-ER36)))</f>
        <v>128.80000000000001</v>
      </c>
      <c r="EK37" s="17">
        <f>EJ37*VLOOKUP('Données projet'!$B$15,Paramètres!$A$1:$I$89,3,0)*VLOOKUP('Données projet'!$B$15,Paramètres!$A$1:$I$89,5,0)</f>
        <v>110.51040000000003</v>
      </c>
      <c r="EL37" s="13">
        <f t="shared" si="45"/>
        <v>29.451206375056412</v>
      </c>
      <c r="EM37" s="20">
        <f t="shared" si="19"/>
        <v>243.76646443655662</v>
      </c>
      <c r="EN37" s="57">
        <f t="shared" si="20"/>
        <v>537.09979776988996</v>
      </c>
      <c r="EO37" s="57">
        <f ca="1">AVERAGE(OFFSET($EN$3,0,0,'Données projet'!$E$15+1,1))-AVERAGE(OFFSET($H$3,0,0,'Données projet'!$E$15+1,1))</f>
        <v>447.10969593632467</v>
      </c>
      <c r="EP37" s="57">
        <f t="shared" si="46"/>
        <v>256.77417912163997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7" t="e">
        <f t="shared" si="23"/>
        <v>#N/A</v>
      </c>
      <c r="FJ37" s="57" t="e">
        <f ca="1">AVERAGE(OFFSET($FI$3,0,0,'Données projet'!$E$16+1,1))-AVERAGE(OFFSET($H$3,0,0,'Données projet'!$E$16+1,1))</f>
        <v>#N/A</v>
      </c>
      <c r="FK37" s="57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7" t="e">
        <f t="shared" si="26"/>
        <v>#N/A</v>
      </c>
      <c r="GE37" s="57" t="e">
        <f ca="1">AVERAGE(OFFSET($GD$3,0,0,'Données projet'!$E$17+1,1))-AVERAGE(OFFSET($H$3,0,0,'Données projet'!$E$17+1,1))</f>
        <v>#N/A</v>
      </c>
      <c r="GF37" s="57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7" t="e">
        <f t="shared" si="29"/>
        <v>#N/A</v>
      </c>
      <c r="GZ37" s="57" t="e">
        <f ca="1">AVERAGE(OFFSET($GY$3,0,0,'Données projet'!$E$18+1,1))-AVERAGE(OFFSET($H$3,0,0,'Données projet'!$E$18+1,1))</f>
        <v>#N/A</v>
      </c>
      <c r="HA37" s="57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0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4">
        <f t="shared" si="1"/>
        <v>256.66666666666669</v>
      </c>
      <c r="I38" s="6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7">
        <f t="shared" si="0"/>
        <v>902.47563782202042</v>
      </c>
      <c r="S38" s="57">
        <f ca="1">AVERAGE(OFFSET($R$3,0,0,'Données projet'!$E$9+1,1))-AVERAGE(OFFSET($H$3,0,0,'Données projet'!$E$9+1,1))</f>
        <v>443.34220761968419</v>
      </c>
      <c r="T38" s="57">
        <f t="shared" si="34"/>
        <v>546.58234447298014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28.14180468591718</v>
      </c>
      <c r="AA38" s="21">
        <f>EXP(-LN(2)/25)*AA37+(1-EXP(-LN(2)/25))/(LN(2)/25)*Calculateur!V38*Calculateur!X38*VLOOKUP('Données projet'!$B$9,Paramètres!$A$1:$I$89,3,0)*0.475*44/12</f>
        <v>19.097532437820103</v>
      </c>
      <c r="AB38" s="21">
        <f>EXP(-LN(2)/2)*AB37+(1-EXP(-LN(2)/2))/(LN(2)/2)*V38*Y38*VLOOKUP('Données projet'!$B$9,Paramètres!$A$1:$I$89,3,0)*0.475*44/12</f>
        <v>1.0680488791604348</v>
      </c>
      <c r="AC38" s="22">
        <f t="shared" si="3"/>
        <v>48.307386002897722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501</v>
      </c>
      <c r="AG38" s="12">
        <f>VLOOKUP(A38,'Données projet'!$A$61:$I$81,9,0)</f>
        <v>34</v>
      </c>
      <c r="AH38" s="12">
        <f t="array" ref="AH38">INDEX(AG:AG,MIN(IF(ISNUMBER(AG38:AG234),ROW(AG38:AG234),"")))</f>
        <v>34</v>
      </c>
      <c r="AI38" s="13">
        <f>IF('Données projet'!$A$62&gt;35,AI37+AH38-AQ37,IF(A38&lt;'Données projet'!$A$62,$AF$205^A38,IF(A38='Données projet'!$A$62,'Données projet'!$B$62,AI37+AH38-AQ37)))</f>
        <v>501</v>
      </c>
      <c r="AJ38" s="13">
        <f>AI38*VLOOKUP('Données projet'!$B$10,Paramètres!$A$1:$I$89,3,0)*VLOOKUP('Données projet'!$B$10,Paramètres!$A$1:$I$89,5,0)</f>
        <v>234.46799999999999</v>
      </c>
      <c r="AK38" s="13">
        <f t="shared" si="35"/>
        <v>57.247683153605443</v>
      </c>
      <c r="AL38" s="20">
        <f t="shared" si="4"/>
        <v>508.07148149252947</v>
      </c>
      <c r="AM38" s="57">
        <f t="shared" si="5"/>
        <v>801.40481482586279</v>
      </c>
      <c r="AN38" s="57">
        <f ca="1">AVERAGE(OFFSET($AM$3,0,0,'Données projet'!$E$10+1,1))-AVERAGE(OFFSET($H$3,0,0,'Données projet'!$E$10+1,1))</f>
        <v>524.3999528951972</v>
      </c>
      <c r="AO38" s="57">
        <f t="shared" si="36"/>
        <v>459.3547783500515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84</v>
      </c>
      <c r="AR38" s="16">
        <f>IF(ISNA(VLOOKUP(A38,'Données projet'!$A$61:$I$81,5,0)),0%,VLOOKUP(A38,'Données projet'!$A$61:$I$81,5,0)*VLOOKUP('Données projet'!$B$10,Paramètres!$A$1:$I$89,7,0))</f>
        <v>0.55000000000000004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28.682446029731555</v>
      </c>
      <c r="AV38" s="21">
        <f>EXP(-LN(2)/25)*AV37+(1-EXP(-LN(2)/25))/(LN(2)/25)*Calculateur!AQ38*Calculateur!AS38*VLOOKUP('Données projet'!$B$10,Paramètres!$A$1:$I$89,3,0)*0.475*44/12</f>
        <v>46.52284658863492</v>
      </c>
      <c r="AW38" s="21">
        <f>EXP(-LN(2)/2)*AW37+(1-EXP(-LN(2)/2))/(LN(2)/2)*AQ38*AT38*VLOOKUP('Données projet'!$B$10,Paramètres!$A$1:$I$89,3,0)*0.475*44/12</f>
        <v>0.21076035490968403</v>
      </c>
      <c r="AX38" s="21">
        <f t="shared" si="6"/>
        <v>75.416052973276152</v>
      </c>
      <c r="AY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453</v>
      </c>
      <c r="BB38" s="12">
        <f>VLOOKUP(A38,'Données projet'!$A$87:$I$107,9,0)</f>
        <v>30.8</v>
      </c>
      <c r="BC38" s="12">
        <f t="array" ref="BC38">INDEX(BB:BB,MIN(IF(ISNUMBER(BB38:BB234),ROW(BB38:BB234),"")))</f>
        <v>30.8</v>
      </c>
      <c r="BD38" s="12">
        <f>IF('Données projet'!$A$88&gt;35,BD37+BC38-BL37,IF(A38&lt;'Données projet'!$A$88,$BA$205^A38,IF(A38='Données projet'!$A$88,'Données projet'!$B$88,BD37+BC38-BL37)))</f>
        <v>453.00000000000011</v>
      </c>
      <c r="BE38" s="13">
        <f>BD38*VLOOKUP('Données projet'!$B$11,Paramètres!$A$1:$I$89,3,0)*VLOOKUP('Données projet'!$B$11,Paramètres!$A$1:$I$89,5,0)</f>
        <v>217.89300000000006</v>
      </c>
      <c r="BF38" s="13">
        <f t="shared" si="37"/>
        <v>53.65668350861781</v>
      </c>
      <c r="BG38" s="20">
        <f t="shared" si="7"/>
        <v>472.94903211084278</v>
      </c>
      <c r="BH38" s="57">
        <f t="shared" si="8"/>
        <v>766.28236544417609</v>
      </c>
      <c r="BI38" s="57">
        <f ca="1">AVERAGE(OFFSET($BH$3,0,0,'Données projet'!$E$11+1,1))-AVERAGE(OFFSET($H$3,0,0,'Données projet'!$E$11+1,1))</f>
        <v>495.6473104257044</v>
      </c>
      <c r="BJ38" s="57">
        <f t="shared" si="38"/>
        <v>430.92527296485201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77</v>
      </c>
      <c r="BM38" s="16">
        <f>IF(ISNA(VLOOKUP(A38,'Données projet'!$A$87:$I$107,5,0)),0%,VLOOKUP(A38,'Données projet'!$A$87:$I$107,5,0)*VLOOKUP('Données projet'!$B$11,Paramètres!$A$1:$I$89,7,0))</f>
        <v>0.55000000000000004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27.022582254862836</v>
      </c>
      <c r="BQ38" s="21">
        <f>EXP(-LN(2)/25)*BQ37+(1-EXP(-LN(2)/25))/(LN(2)/25)*Calculateur!BL38*Calculateur!BN38*VLOOKUP('Données projet'!$B$11,Paramètres!$A$1:$I$89,3,0)*0.475*44/12</f>
        <v>43.830552225866697</v>
      </c>
      <c r="BR38" s="21">
        <f>EXP(-LN(2)/2)*BR37+(1-EXP(-LN(2)/2))/(LN(2)/2)*BL38*BO38*VLOOKUP('Données projet'!$B$11,Paramètres!$A$1:$I$89,3,0)*0.475*44/12</f>
        <v>0.12936717772426981</v>
      </c>
      <c r="BS38" s="22">
        <f t="shared" si="9"/>
        <v>70.982501658453813</v>
      </c>
      <c r="BT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7" t="e">
        <f t="shared" si="11"/>
        <v>#NUM!</v>
      </c>
      <c r="CD38" s="57">
        <f ca="1">AVERAGE(OFFSET($CC$3,0,0,'Données projet'!$E$12+1,1))-AVERAGE(OFFSET($H$3,0,0,'Données projet'!$E$12+1,1))</f>
        <v>187.80389738728508</v>
      </c>
      <c r="CE38" s="57">
        <f t="shared" si="40"/>
        <v>439.28159165815265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111.86580544404413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0.21816351199205411</v>
      </c>
      <c r="CN38" s="22">
        <f t="shared" si="12"/>
        <v>112.08396895603619</v>
      </c>
      <c r="CO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116</v>
      </c>
      <c r="CR38" s="12">
        <f>VLOOKUP(A38,'Données projet'!$A$139:$I$159,9,0)</f>
        <v>8</v>
      </c>
      <c r="CS38" s="12">
        <f t="array" ref="CS38">INDEX(CR:CR,MIN(IF(ISNUMBER(CR38:CR234),ROW(CR38:CR234),"")))</f>
        <v>8</v>
      </c>
      <c r="CT38" s="12">
        <f>IF('Données projet'!$A$140&gt;35,CT37+CS38-DB37,IF(A38&lt;'Données projet'!$A$140,$CQ$205^A38,IF(A38='Données projet'!$A$140,'Données projet'!$B$140,CT37+CS38-DB37)))</f>
        <v>116</v>
      </c>
      <c r="CU38" s="17">
        <f>CT38*VLOOKUP('Données projet'!$B$13,Paramètres!$A$1:$I$89,3,0)*VLOOKUP('Données projet'!$B$13,Paramètres!$A$1:$I$89,5,0)</f>
        <v>104.9568</v>
      </c>
      <c r="CV38" s="13">
        <f t="shared" si="41"/>
        <v>28.139541339232373</v>
      </c>
      <c r="CW38" s="20">
        <f t="shared" si="13"/>
        <v>231.8094611658297</v>
      </c>
      <c r="CX38" s="57">
        <f t="shared" si="14"/>
        <v>525.14279449916307</v>
      </c>
      <c r="CY38" s="57">
        <f ca="1">AVERAGE(OFFSET($CX$3,0,0,'Données projet'!$E$13+1,1))-AVERAGE(OFFSET($H$3,0,0,'Données projet'!$E$13+1,1))</f>
        <v>364.3481978218424</v>
      </c>
      <c r="CZ38" s="57">
        <f t="shared" si="42"/>
        <v>231.36959598460686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9.0320732825947605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9.0320732825947605</v>
      </c>
      <c r="DJ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136</v>
      </c>
      <c r="DM38" s="12">
        <f>VLOOKUP(A38,'Données projet'!$A$165:$I$185,9,0)</f>
        <v>5.5</v>
      </c>
      <c r="DN38" s="12">
        <f t="array" ref="DN38">INDEX(DM:DM,MIN(IF(ISNUMBER(DM38:DM234),ROW(DM38:DM234),"")))</f>
        <v>5.5</v>
      </c>
      <c r="DO38" s="12">
        <f>IF('Données projet'!$A$166&gt;35,DO37+DN38-DW37,IF(A38&lt;'Données projet'!$A$166,$DL$205^A38,IF(A38='Données projet'!$A$166,'Données projet'!$B$166,DO37+DN38-DW37)))</f>
        <v>136</v>
      </c>
      <c r="DP38" s="17">
        <f>DO38*VLOOKUP('Données projet'!$B$14,Paramètres!$A$1:$I$89,3,0)*VLOOKUP('Données projet'!$B$14,Paramètres!$A$1:$I$89,5,0)</f>
        <v>99.715199999999996</v>
      </c>
      <c r="DQ38" s="13">
        <f t="shared" si="43"/>
        <v>26.894136617382181</v>
      </c>
      <c r="DR38" s="20">
        <f t="shared" si="16"/>
        <v>220.51126127527394</v>
      </c>
      <c r="DS38" s="57">
        <f t="shared" si="17"/>
        <v>513.84459460860728</v>
      </c>
      <c r="DT38" s="57">
        <f ca="1">AVERAGE(OFFSET($DS$3,0,0,'Données projet'!$E$14+1,1))-AVERAGE(OFFSET($H$3,0,0,'Données projet'!$E$14+1,1))</f>
        <v>239.25212250019609</v>
      </c>
      <c r="DU38" s="57">
        <f t="shared" si="44"/>
        <v>213.58492101729695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139</v>
      </c>
      <c r="EH38" s="12">
        <f>VLOOKUP(A38,'Données projet'!$A$191:$I$211,9,0)</f>
        <v>10.199999999999999</v>
      </c>
      <c r="EI38" s="12">
        <f t="array" ref="EI38">INDEX(EH:EH,MIN(IF(ISNUMBER(EH38:EH234),ROW(EH38:EH234),"")))</f>
        <v>10.199999999999999</v>
      </c>
      <c r="EJ38" s="12">
        <f>IF('Données projet'!$A$192&gt;35,EJ37+EI38-ER37,IF(A38&lt;'Données projet'!$A$192,$EG$205^A38,IF(A38='Données projet'!$A$192,'Données projet'!$B$192,EJ37+EI38-ER37)))</f>
        <v>139</v>
      </c>
      <c r="EK38" s="17">
        <f>EJ38*VLOOKUP('Données projet'!$B$15,Paramètres!$A$1:$I$89,3,0)*VLOOKUP('Données projet'!$B$15,Paramètres!$A$1:$I$89,5,0)</f>
        <v>119.26200000000001</v>
      </c>
      <c r="EL38" s="13">
        <f t="shared" si="45"/>
        <v>31.502811162802828</v>
      </c>
      <c r="EM38" s="20">
        <f t="shared" si="19"/>
        <v>262.58204610854824</v>
      </c>
      <c r="EN38" s="57">
        <f t="shared" si="20"/>
        <v>555.91537944188156</v>
      </c>
      <c r="EO38" s="57">
        <f ca="1">AVERAGE(OFFSET($EN$3,0,0,'Données projet'!$E$15+1,1))-AVERAGE(OFFSET($H$3,0,0,'Données projet'!$E$15+1,1))</f>
        <v>447.10969593632467</v>
      </c>
      <c r="EP38" s="57">
        <f t="shared" si="46"/>
        <v>256.77417912163997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28</v>
      </c>
      <c r="ES38" s="16">
        <f>IF(ISNA(VLOOKUP(A38,'Données projet'!$A$191:$I$211,5,0)),0%,VLOOKUP(A38,'Données projet'!$A$191:$I$211,5,0)*VLOOKUP('Données projet'!$B$15,Paramètres!$A$1:$I$89,7,0))</f>
        <v>0.53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14.075644810886788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14.075644810886788</v>
      </c>
      <c r="EZ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7" t="e">
        <f t="shared" si="23"/>
        <v>#N/A</v>
      </c>
      <c r="FJ38" s="57" t="e">
        <f ca="1">AVERAGE(OFFSET($FI$3,0,0,'Données projet'!$E$16+1,1))-AVERAGE(OFFSET($H$3,0,0,'Données projet'!$E$16+1,1))</f>
        <v>#N/A</v>
      </c>
      <c r="FK38" s="57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7" t="e">
        <f t="shared" si="26"/>
        <v>#N/A</v>
      </c>
      <c r="GE38" s="57" t="e">
        <f ca="1">AVERAGE(OFFSET($GD$3,0,0,'Données projet'!$E$17+1,1))-AVERAGE(OFFSET($H$3,0,0,'Données projet'!$E$17+1,1))</f>
        <v>#N/A</v>
      </c>
      <c r="GF38" s="57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7" t="e">
        <f t="shared" si="29"/>
        <v>#N/A</v>
      </c>
      <c r="GZ38" s="57" t="e">
        <f ca="1">AVERAGE(OFFSET($GY$3,0,0,'Données projet'!$E$18+1,1))-AVERAGE(OFFSET($H$3,0,0,'Données projet'!$E$18+1,1))</f>
        <v>#N/A</v>
      </c>
      <c r="HA38" s="57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0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4">
        <f t="shared" si="1"/>
        <v>256.66666666666669</v>
      </c>
      <c r="I39" s="6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7">
        <f t="shared" si="0"/>
        <v>851.25466482211777</v>
      </c>
      <c r="S39" s="57">
        <f ca="1">AVERAGE(OFFSET($R$3,0,0,'Données projet'!$E$9+1,1))-AVERAGE(OFFSET($H$3,0,0,'Données projet'!$E$9+1,1))</f>
        <v>443.34220761968419</v>
      </c>
      <c r="T39" s="57">
        <f t="shared" si="34"/>
        <v>546.58234447298014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27.589961060832319</v>
      </c>
      <c r="AA39" s="21">
        <f>EXP(-LN(2)/25)*AA38+(1-EXP(-LN(2)/25))/(LN(2)/25)*Calculateur!V39*Calculateur!X39*VLOOKUP('Données projet'!$B$9,Paramètres!$A$1:$I$89,3,0)*0.475*44/12</f>
        <v>18.575309409012331</v>
      </c>
      <c r="AB39" s="21">
        <f>EXP(-LN(2)/2)*AB38+(1-EXP(-LN(2)/2))/(LN(2)/2)*V39*Y39*VLOOKUP('Données projet'!$B$9,Paramètres!$A$1:$I$89,3,0)*0.475*44/12</f>
        <v>0.75522460509303491</v>
      </c>
      <c r="AC39" s="22">
        <f t="shared" si="3"/>
        <v>46.920495074937683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32</v>
      </c>
      <c r="AI39" s="13">
        <f>IF('Données projet'!$A$62&gt;35,AI38+AH39-AQ38,IF(A39&lt;'Données projet'!$A$62,$AF$205^A39,IF(A39='Données projet'!$A$62,'Données projet'!$B$62,AI38+AH39-AQ38)))</f>
        <v>449</v>
      </c>
      <c r="AJ39" s="13">
        <f>AI39*VLOOKUP('Données projet'!$B$10,Paramètres!$A$1:$I$89,3,0)*VLOOKUP('Données projet'!$B$10,Paramètres!$A$1:$I$89,5,0)</f>
        <v>210.13199999999998</v>
      </c>
      <c r="AK39" s="13">
        <f t="shared" si="35"/>
        <v>51.964429964375064</v>
      </c>
      <c r="AL39" s="20">
        <f t="shared" si="4"/>
        <v>456.48461552128651</v>
      </c>
      <c r="AM39" s="57">
        <f t="shared" si="5"/>
        <v>749.81794885461977</v>
      </c>
      <c r="AN39" s="57">
        <f ca="1">AVERAGE(OFFSET($AM$3,0,0,'Données projet'!$E$10+1,1))-AVERAGE(OFFSET($H$3,0,0,'Données projet'!$E$10+1,1))</f>
        <v>524.3999528951972</v>
      </c>
      <c r="AO39" s="57">
        <f t="shared" si="36"/>
        <v>459.3547783500515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28.120000757653152</v>
      </c>
      <c r="AV39" s="21">
        <f>EXP(-LN(2)/25)*AV38+(1-EXP(-LN(2)/25))/(LN(2)/25)*Calculateur!AQ39*Calculateur!AS39*VLOOKUP('Données projet'!$B$10,Paramètres!$A$1:$I$89,3,0)*0.475*44/12</f>
        <v>45.250676902138522</v>
      </c>
      <c r="AW39" s="21">
        <f>EXP(-LN(2)/2)*AW38+(1-EXP(-LN(2)/2))/(LN(2)/2)*AQ39*AT39*VLOOKUP('Données projet'!$B$10,Paramètres!$A$1:$I$89,3,0)*0.475*44/12</f>
        <v>0.14903007616192104</v>
      </c>
      <c r="AX39" s="21">
        <f t="shared" si="6"/>
        <v>73.519707735953602</v>
      </c>
      <c r="AY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29.6</v>
      </c>
      <c r="BD39" s="12">
        <f>IF('Données projet'!$A$88&gt;35,BD38+BC39-BL38,IF(A39&lt;'Données projet'!$A$88,$BA$205^A39,IF(A39='Données projet'!$A$88,'Données projet'!$B$88,BD38+BC39-BL38)))</f>
        <v>405.60000000000014</v>
      </c>
      <c r="BE39" s="13">
        <f>BD39*VLOOKUP('Données projet'!$B$11,Paramètres!$A$1:$I$89,3,0)*VLOOKUP('Données projet'!$B$11,Paramètres!$A$1:$I$89,5,0)</f>
        <v>195.09360000000009</v>
      </c>
      <c r="BF39" s="13">
        <f t="shared" si="37"/>
        <v>48.6643357423848</v>
      </c>
      <c r="BG39" s="20">
        <f t="shared" si="7"/>
        <v>424.545071417987</v>
      </c>
      <c r="BH39" s="57">
        <f t="shared" si="8"/>
        <v>717.87840475132032</v>
      </c>
      <c r="BI39" s="57">
        <f ca="1">AVERAGE(OFFSET($BH$3,0,0,'Données projet'!$E$11+1,1))-AVERAGE(OFFSET($H$3,0,0,'Données projet'!$E$11+1,1))</f>
        <v>495.6473104257044</v>
      </c>
      <c r="BJ39" s="57">
        <f t="shared" si="38"/>
        <v>430.92527296485201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26.492685898992676</v>
      </c>
      <c r="BQ39" s="21">
        <f>EXP(-LN(2)/25)*BQ38+(1-EXP(-LN(2)/25))/(LN(2)/25)*Calculateur!BL39*Calculateur!BN39*VLOOKUP('Données projet'!$B$11,Paramètres!$A$1:$I$89,3,0)*0.475*44/12</f>
        <v>42.632003470301804</v>
      </c>
      <c r="BR39" s="21">
        <f>EXP(-LN(2)/2)*BR38+(1-EXP(-LN(2)/2))/(LN(2)/2)*BL39*BO39*VLOOKUP('Données projet'!$B$11,Paramètres!$A$1:$I$89,3,0)*0.475*44/12</f>
        <v>9.1476408631796458E-2</v>
      </c>
      <c r="BS39" s="22">
        <f t="shared" si="9"/>
        <v>69.216165777926278</v>
      </c>
      <c r="BT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7" t="e">
        <f t="shared" si="11"/>
        <v>#NUM!</v>
      </c>
      <c r="CD39" s="57">
        <f ca="1">AVERAGE(OFFSET($CC$3,0,0,'Données projet'!$E$12+1,1))-AVERAGE(OFFSET($H$3,0,0,'Données projet'!$E$12+1,1))</f>
        <v>187.80389738728508</v>
      </c>
      <c r="CE39" s="57">
        <f t="shared" si="40"/>
        <v>439.28159165815265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109.67218523069045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0.15426489873705415</v>
      </c>
      <c r="CN39" s="22">
        <f t="shared" si="12"/>
        <v>109.8264501294275</v>
      </c>
      <c r="CO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8.4</v>
      </c>
      <c r="CT39" s="12">
        <f>IF('Données projet'!$A$140&gt;35,CT38+CS39-DB38,IF(A39&lt;'Données projet'!$A$140,$CQ$205^A39,IF(A39='Données projet'!$A$140,'Données projet'!$B$140,CT38+CS39-DB38)))</f>
        <v>103.4</v>
      </c>
      <c r="CU39" s="17">
        <f>CT39*VLOOKUP('Données projet'!$B$13,Paramètres!$A$1:$I$89,3,0)*VLOOKUP('Données projet'!$B$13,Paramètres!$A$1:$I$89,5,0)</f>
        <v>93.556319999999999</v>
      </c>
      <c r="CV39" s="13">
        <f t="shared" si="41"/>
        <v>25.420979659258073</v>
      </c>
      <c r="CW39" s="20">
        <f t="shared" si="13"/>
        <v>207.21879690654114</v>
      </c>
      <c r="CX39" s="57">
        <f t="shared" si="14"/>
        <v>500.55213023987449</v>
      </c>
      <c r="CY39" s="57">
        <f ca="1">AVERAGE(OFFSET($CX$3,0,0,'Données projet'!$E$13+1,1))-AVERAGE(OFFSET($H$3,0,0,'Données projet'!$E$13+1,1))</f>
        <v>364.3481978218424</v>
      </c>
      <c r="CZ39" s="57">
        <f t="shared" si="42"/>
        <v>231.36959598460686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8.8549598345438092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8.8549598345438092</v>
      </c>
      <c r="DJ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6.8</v>
      </c>
      <c r="DO39" s="12">
        <f>IF('Données projet'!$A$166&gt;35,DO38+DN39-DW38,IF(A39&lt;'Données projet'!$A$166,$DL$205^A39,IF(A39='Données projet'!$A$166,'Données projet'!$B$166,DO38+DN39-DW38)))</f>
        <v>142.80000000000001</v>
      </c>
      <c r="DP39" s="17">
        <f>DO39*VLOOKUP('Données projet'!$B$14,Paramètres!$A$1:$I$89,3,0)*VLOOKUP('Données projet'!$B$14,Paramètres!$A$1:$I$89,5,0)</f>
        <v>104.70096000000001</v>
      </c>
      <c r="DQ39" s="13">
        <f t="shared" si="43"/>
        <v>28.07892464469024</v>
      </c>
      <c r="DR39" s="20">
        <f t="shared" si="16"/>
        <v>231.25829908950217</v>
      </c>
      <c r="DS39" s="57">
        <f t="shared" si="17"/>
        <v>524.59163242283546</v>
      </c>
      <c r="DT39" s="57">
        <f ca="1">AVERAGE(OFFSET($DS$3,0,0,'Données projet'!$E$14+1,1))-AVERAGE(OFFSET($H$3,0,0,'Données projet'!$E$14+1,1))</f>
        <v>239.25212250019609</v>
      </c>
      <c r="DU39" s="57">
        <f t="shared" si="44"/>
        <v>213.58492101729695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10</v>
      </c>
      <c r="EJ39" s="12">
        <f>IF('Données projet'!$A$192&gt;35,EJ38+EI39-ER38,IF(A39&lt;'Données projet'!$A$192,$EG$205^A39,IF(A39='Données projet'!$A$192,'Données projet'!$B$192,EJ38+EI39-ER38)))</f>
        <v>121</v>
      </c>
      <c r="EK39" s="17">
        <f>EJ39*VLOOKUP('Données projet'!$B$15,Paramètres!$A$1:$I$89,3,0)*VLOOKUP('Données projet'!$B$15,Paramètres!$A$1:$I$89,5,0)</f>
        <v>103.81800000000003</v>
      </c>
      <c r="EL39" s="13">
        <f t="shared" si="45"/>
        <v>27.869590380741339</v>
      </c>
      <c r="EM39" s="20">
        <f t="shared" si="19"/>
        <v>229.35588657979122</v>
      </c>
      <c r="EN39" s="57">
        <f t="shared" si="20"/>
        <v>522.68921991312459</v>
      </c>
      <c r="EO39" s="57">
        <f ca="1">AVERAGE(OFFSET($EN$3,0,0,'Données projet'!$E$15+1,1))-AVERAGE(OFFSET($H$3,0,0,'Données projet'!$E$15+1,1))</f>
        <v>447.10969593632467</v>
      </c>
      <c r="EP39" s="57">
        <f t="shared" si="46"/>
        <v>256.77417912163997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13.799630001440905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13.799630001440905</v>
      </c>
      <c r="EZ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7" t="e">
        <f t="shared" si="23"/>
        <v>#N/A</v>
      </c>
      <c r="FJ39" s="57" t="e">
        <f ca="1">AVERAGE(OFFSET($FI$3,0,0,'Données projet'!$E$16+1,1))-AVERAGE(OFFSET($H$3,0,0,'Données projet'!$E$16+1,1))</f>
        <v>#N/A</v>
      </c>
      <c r="FK39" s="57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7" t="e">
        <f t="shared" si="26"/>
        <v>#N/A</v>
      </c>
      <c r="GE39" s="57" t="e">
        <f ca="1">AVERAGE(OFFSET($GD$3,0,0,'Données projet'!$E$17+1,1))-AVERAGE(OFFSET($H$3,0,0,'Données projet'!$E$17+1,1))</f>
        <v>#N/A</v>
      </c>
      <c r="GF39" s="57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7" t="e">
        <f t="shared" si="29"/>
        <v>#N/A</v>
      </c>
      <c r="GZ39" s="57" t="e">
        <f ca="1">AVERAGE(OFFSET($GY$3,0,0,'Données projet'!$E$18+1,1))-AVERAGE(OFFSET($H$3,0,0,'Données projet'!$E$18+1,1))</f>
        <v>#N/A</v>
      </c>
      <c r="HA39" s="57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0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4">
        <f t="shared" si="1"/>
        <v>256.66666666666669</v>
      </c>
      <c r="I40" s="6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7">
        <f t="shared" si="0"/>
        <v>881.47926552130343</v>
      </c>
      <c r="S40" s="57">
        <f ca="1">AVERAGE(OFFSET($R$3,0,0,'Données projet'!$E$9+1,1))-AVERAGE(OFFSET($H$3,0,0,'Données projet'!$E$9+1,1))</f>
        <v>443.34220761968419</v>
      </c>
      <c r="T40" s="57">
        <f t="shared" si="34"/>
        <v>546.58234447298014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27.048938752643995</v>
      </c>
      <c r="AA40" s="21">
        <f>EXP(-LN(2)/25)*AA39+(1-EXP(-LN(2)/25))/(LN(2)/25)*Calculateur!V40*Calculateur!X40*VLOOKUP('Données projet'!$B$9,Paramètres!$A$1:$I$89,3,0)*0.475*44/12</f>
        <v>18.067366596389821</v>
      </c>
      <c r="AB40" s="21">
        <f>EXP(-LN(2)/2)*AB39+(1-EXP(-LN(2)/2))/(LN(2)/2)*V40*Y40*VLOOKUP('Données projet'!$B$9,Paramètres!$A$1:$I$89,3,0)*0.475*44/12</f>
        <v>0.53402443958021739</v>
      </c>
      <c r="AC40" s="22">
        <f t="shared" si="3"/>
        <v>45.65032978861403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32</v>
      </c>
      <c r="AI40" s="13">
        <f>IF('Données projet'!$A$62&gt;35,AI39+AH40-AQ39,IF(A40&lt;'Données projet'!$A$62,$AF$205^A40,IF(A40='Données projet'!$A$62,'Données projet'!$B$62,AI39+AH40-AQ39)))</f>
        <v>481</v>
      </c>
      <c r="AJ40" s="13">
        <f>AI40*VLOOKUP('Données projet'!$B$10,Paramètres!$A$1:$I$89,3,0)*VLOOKUP('Données projet'!$B$10,Paramètres!$A$1:$I$89,5,0)</f>
        <v>225.108</v>
      </c>
      <c r="AK40" s="13">
        <f t="shared" si="35"/>
        <v>55.223596878889587</v>
      </c>
      <c r="AL40" s="20">
        <f t="shared" si="4"/>
        <v>488.24419789739932</v>
      </c>
      <c r="AM40" s="57">
        <f t="shared" si="5"/>
        <v>781.57753123073257</v>
      </c>
      <c r="AN40" s="57">
        <f ca="1">AVERAGE(OFFSET($AM$3,0,0,'Données projet'!$E$10+1,1))-AVERAGE(OFFSET($H$3,0,0,'Données projet'!$E$10+1,1))</f>
        <v>524.3999528951972</v>
      </c>
      <c r="AO40" s="57">
        <f t="shared" si="36"/>
        <v>459.3547783500515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27.568584694302466</v>
      </c>
      <c r="AV40" s="21">
        <f>EXP(-LN(2)/25)*AV39+(1-EXP(-LN(2)/25))/(LN(2)/25)*Calculateur!AQ40*Calculateur!AS40*VLOOKUP('Données projet'!$B$10,Paramètres!$A$1:$I$89,3,0)*0.475*44/12</f>
        <v>44.013294762619871</v>
      </c>
      <c r="AW40" s="21">
        <f>EXP(-LN(2)/2)*AW39+(1-EXP(-LN(2)/2))/(LN(2)/2)*AQ40*AT40*VLOOKUP('Données projet'!$B$10,Paramètres!$A$1:$I$89,3,0)*0.475*44/12</f>
        <v>0.10538017745484202</v>
      </c>
      <c r="AX40" s="21">
        <f t="shared" si="6"/>
        <v>71.687259634377185</v>
      </c>
      <c r="AY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29.6</v>
      </c>
      <c r="BD40" s="12">
        <f>IF('Données projet'!$A$88&gt;35,BD39+BC40-BL39,IF(A40&lt;'Données projet'!$A$88,$BA$205^A40,IF(A40='Données projet'!$A$88,'Données projet'!$B$88,BD39+BC40-BL39)))</f>
        <v>435.20000000000016</v>
      </c>
      <c r="BE40" s="13">
        <f>BD40*VLOOKUP('Données projet'!$B$11,Paramètres!$A$1:$I$89,3,0)*VLOOKUP('Données projet'!$B$11,Paramètres!$A$1:$I$89,5,0)</f>
        <v>209.33120000000008</v>
      </c>
      <c r="BF40" s="13">
        <f t="shared" si="37"/>
        <v>51.789408950086234</v>
      </c>
      <c r="BG40" s="20">
        <f t="shared" si="7"/>
        <v>454.78506058806698</v>
      </c>
      <c r="BH40" s="57">
        <f t="shared" si="8"/>
        <v>748.1183939214003</v>
      </c>
      <c r="BI40" s="57">
        <f ca="1">AVERAGE(OFFSET($BH$3,0,0,'Données projet'!$E$11+1,1))-AVERAGE(OFFSET($H$3,0,0,'Données projet'!$E$11+1,1))</f>
        <v>495.6473104257044</v>
      </c>
      <c r="BJ40" s="57">
        <f t="shared" si="38"/>
        <v>430.92527296485201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25.973180487456265</v>
      </c>
      <c r="BQ40" s="21">
        <f>EXP(-LN(2)/25)*BQ39+(1-EXP(-LN(2)/25))/(LN(2)/25)*Calculateur!BL40*Calculateur!BN40*VLOOKUP('Données projet'!$B$11,Paramètres!$A$1:$I$89,3,0)*0.475*44/12</f>
        <v>41.466229093486774</v>
      </c>
      <c r="BR40" s="21">
        <f>EXP(-LN(2)/2)*BR39+(1-EXP(-LN(2)/2))/(LN(2)/2)*BL40*BO40*VLOOKUP('Données projet'!$B$11,Paramètres!$A$1:$I$89,3,0)*0.475*44/12</f>
        <v>6.4683588862134905E-2</v>
      </c>
      <c r="BS40" s="22">
        <f t="shared" si="9"/>
        <v>67.504093169805174</v>
      </c>
      <c r="BT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7" t="e">
        <f t="shared" si="11"/>
        <v>#NUM!</v>
      </c>
      <c r="CD40" s="57">
        <f ca="1">AVERAGE(OFFSET($CC$3,0,0,'Données projet'!$E$12+1,1))-AVERAGE(OFFSET($H$3,0,0,'Données projet'!$E$12+1,1))</f>
        <v>187.80389738728508</v>
      </c>
      <c r="CE40" s="57">
        <f t="shared" si="40"/>
        <v>439.28159165815265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107.52158057174442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0.10908175599602707</v>
      </c>
      <c r="CN40" s="22">
        <f t="shared" si="12"/>
        <v>107.63066232774045</v>
      </c>
      <c r="CO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8.4</v>
      </c>
      <c r="CT40" s="12">
        <f>IF('Données projet'!$A$140&gt;35,CT39+CS40-DB39,IF(A40&lt;'Données projet'!$A$140,$CQ$205^A40,IF(A40='Données projet'!$A$140,'Données projet'!$B$140,CT39+CS40-DB39)))</f>
        <v>111.80000000000001</v>
      </c>
      <c r="CU40" s="17">
        <f>CT40*VLOOKUP('Données projet'!$B$13,Paramètres!$A$1:$I$89,3,0)*VLOOKUP('Données projet'!$B$13,Paramètres!$A$1:$I$89,5,0)</f>
        <v>101.15664000000001</v>
      </c>
      <c r="CV40" s="13">
        <f t="shared" si="41"/>
        <v>27.237366379381644</v>
      </c>
      <c r="CW40" s="20">
        <f t="shared" si="13"/>
        <v>223.61956111075639</v>
      </c>
      <c r="CX40" s="57">
        <f t="shared" si="14"/>
        <v>516.95289444408968</v>
      </c>
      <c r="CY40" s="57">
        <f ca="1">AVERAGE(OFFSET($CX$3,0,0,'Données projet'!$E$13+1,1))-AVERAGE(OFFSET($H$3,0,0,'Données projet'!$E$13+1,1))</f>
        <v>364.3481978218424</v>
      </c>
      <c r="CZ40" s="57">
        <f t="shared" si="42"/>
        <v>231.36959598460686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8.6813194731806007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8.6813194731806007</v>
      </c>
      <c r="DJ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6.8</v>
      </c>
      <c r="DO40" s="12">
        <f>IF('Données projet'!$A$166&gt;35,DO39+DN40-DW39,IF(A40&lt;'Données projet'!$A$166,$DL$205^A40,IF(A40='Données projet'!$A$166,'Données projet'!$B$166,DO39+DN40-DW39)))</f>
        <v>149.60000000000002</v>
      </c>
      <c r="DP40" s="17">
        <f>DO40*VLOOKUP('Données projet'!$B$14,Paramètres!$A$1:$I$89,3,0)*VLOOKUP('Données projet'!$B$14,Paramètres!$A$1:$I$89,5,0)</f>
        <v>109.68672000000002</v>
      </c>
      <c r="DQ40" s="13">
        <f t="shared" si="43"/>
        <v>29.257161113605147</v>
      </c>
      <c r="DR40" s="20">
        <f t="shared" si="16"/>
        <v>241.9939262728623</v>
      </c>
      <c r="DS40" s="57">
        <f t="shared" si="17"/>
        <v>535.32725960619564</v>
      </c>
      <c r="DT40" s="57">
        <f ca="1">AVERAGE(OFFSET($DS$3,0,0,'Données projet'!$E$14+1,1))-AVERAGE(OFFSET($H$3,0,0,'Données projet'!$E$14+1,1))</f>
        <v>239.25212250019609</v>
      </c>
      <c r="DU40" s="57">
        <f t="shared" si="44"/>
        <v>213.58492101729695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10</v>
      </c>
      <c r="EJ40" s="12">
        <f>IF('Données projet'!$A$192&gt;35,EJ39+EI40-ER39,IF(A40&lt;'Données projet'!$A$192,$EG$205^A40,IF(A40='Données projet'!$A$192,'Données projet'!$B$192,EJ39+EI40-ER39)))</f>
        <v>131</v>
      </c>
      <c r="EK40" s="17">
        <f>EJ40*VLOOKUP('Données projet'!$B$15,Paramètres!$A$1:$I$89,3,0)*VLOOKUP('Données projet'!$B$15,Paramètres!$A$1:$I$89,5,0)</f>
        <v>112.39800000000002</v>
      </c>
      <c r="EL40" s="13">
        <f t="shared" si="45"/>
        <v>29.895260991861875</v>
      </c>
      <c r="EM40" s="20">
        <f t="shared" si="19"/>
        <v>247.82742956082612</v>
      </c>
      <c r="EN40" s="57">
        <f t="shared" si="20"/>
        <v>541.16076289415946</v>
      </c>
      <c r="EO40" s="57">
        <f ca="1">AVERAGE(OFFSET($EN$3,0,0,'Données projet'!$E$15+1,1))-AVERAGE(OFFSET($H$3,0,0,'Données projet'!$E$15+1,1))</f>
        <v>447.10969593632467</v>
      </c>
      <c r="EP40" s="57">
        <f t="shared" si="46"/>
        <v>256.77417912163997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13.529027674055845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13.529027674055845</v>
      </c>
      <c r="EZ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7" t="e">
        <f t="shared" si="23"/>
        <v>#N/A</v>
      </c>
      <c r="FJ40" s="57" t="e">
        <f ca="1">AVERAGE(OFFSET($FI$3,0,0,'Données projet'!$E$16+1,1))-AVERAGE(OFFSET($H$3,0,0,'Données projet'!$E$16+1,1))</f>
        <v>#N/A</v>
      </c>
      <c r="FK40" s="57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7" t="e">
        <f t="shared" si="26"/>
        <v>#N/A</v>
      </c>
      <c r="GE40" s="57" t="e">
        <f ca="1">AVERAGE(OFFSET($GD$3,0,0,'Données projet'!$E$17+1,1))-AVERAGE(OFFSET($H$3,0,0,'Données projet'!$E$17+1,1))</f>
        <v>#N/A</v>
      </c>
      <c r="GF40" s="57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7" t="e">
        <f t="shared" si="29"/>
        <v>#N/A</v>
      </c>
      <c r="GZ40" s="57" t="e">
        <f ca="1">AVERAGE(OFFSET($GY$3,0,0,'Données projet'!$E$18+1,1))-AVERAGE(OFFSET($H$3,0,0,'Données projet'!$E$18+1,1))</f>
        <v>#N/A</v>
      </c>
      <c r="HA40" s="57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0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4">
        <f t="shared" si="1"/>
        <v>256.66666666666669</v>
      </c>
      <c r="I41" s="6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7">
        <f t="shared" si="0"/>
        <v>911.6715292970066</v>
      </c>
      <c r="S41" s="57">
        <f ca="1">AVERAGE(OFFSET($R$3,0,0,'Données projet'!$E$9+1,1))-AVERAGE(OFFSET($H$3,0,0,'Données projet'!$E$9+1,1))</f>
        <v>443.34220761968419</v>
      </c>
      <c r="T41" s="57">
        <f t="shared" si="34"/>
        <v>546.58234447298014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26.518525561928222</v>
      </c>
      <c r="AA41" s="21">
        <f>EXP(-LN(2)/25)*AA40+(1-EXP(-LN(2)/25))/(LN(2)/25)*Calculateur!V41*Calculateur!X41*VLOOKUP('Données projet'!$B$9,Paramètres!$A$1:$I$89,3,0)*0.475*44/12</f>
        <v>17.573313506690024</v>
      </c>
      <c r="AB41" s="21">
        <f>EXP(-LN(2)/2)*AB40+(1-EXP(-LN(2)/2))/(LN(2)/2)*V41*Y41*VLOOKUP('Données projet'!$B$9,Paramètres!$A$1:$I$89,3,0)*0.475*44/12</f>
        <v>0.37761230254651745</v>
      </c>
      <c r="AC41" s="22">
        <f t="shared" si="3"/>
        <v>44.469451371164759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32</v>
      </c>
      <c r="AI41" s="13">
        <f>IF('Données projet'!$A$62&gt;35,AI40+AH41-AQ40,IF(A41&lt;'Données projet'!$A$62,$AF$205^A41,IF(A41='Données projet'!$A$62,'Données projet'!$B$62,AI40+AH41-AQ40)))</f>
        <v>513</v>
      </c>
      <c r="AJ41" s="13">
        <f>AI41*VLOOKUP('Données projet'!$B$10,Paramètres!$A$1:$I$89,3,0)*VLOOKUP('Données projet'!$B$10,Paramètres!$A$1:$I$89,5,0)</f>
        <v>240.084</v>
      </c>
      <c r="AK41" s="13">
        <f t="shared" si="35"/>
        <v>58.457603123312211</v>
      </c>
      <c r="AL41" s="20">
        <f t="shared" si="4"/>
        <v>519.95995877310202</v>
      </c>
      <c r="AM41" s="57">
        <f t="shared" si="5"/>
        <v>813.29329210643527</v>
      </c>
      <c r="AN41" s="57">
        <f ca="1">AVERAGE(OFFSET($AM$3,0,0,'Données projet'!$E$10+1,1))-AVERAGE(OFFSET($H$3,0,0,'Données projet'!$E$10+1,1))</f>
        <v>524.3999528951972</v>
      </c>
      <c r="AO41" s="57">
        <f t="shared" si="36"/>
        <v>459.3547783500515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27.027981563623499</v>
      </c>
      <c r="AV41" s="21">
        <f>EXP(-LN(2)/25)*AV40+(1-EXP(-LN(2)/25))/(LN(2)/25)*Calculateur!AQ41*Calculateur!AS41*VLOOKUP('Données projet'!$B$10,Paramètres!$A$1:$I$89,3,0)*0.475*44/12</f>
        <v>42.80974890277745</v>
      </c>
      <c r="AW41" s="21">
        <f>EXP(-LN(2)/2)*AW40+(1-EXP(-LN(2)/2))/(LN(2)/2)*AQ41*AT41*VLOOKUP('Données projet'!$B$10,Paramètres!$A$1:$I$89,3,0)*0.475*44/12</f>
        <v>7.4515038080960522E-2</v>
      </c>
      <c r="AX41" s="21">
        <f t="shared" si="6"/>
        <v>69.912245504481916</v>
      </c>
      <c r="AY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29.6</v>
      </c>
      <c r="BD41" s="12">
        <f>IF('Données projet'!$A$88&gt;35,BD40+BC41-BL40,IF(A41&lt;'Données projet'!$A$88,$BA$205^A41,IF(A41='Données projet'!$A$88,'Données projet'!$B$88,BD40+BC41-BL40)))</f>
        <v>464.80000000000018</v>
      </c>
      <c r="BE41" s="13">
        <f>BD41*VLOOKUP('Données projet'!$B$11,Paramètres!$A$1:$I$89,3,0)*VLOOKUP('Données projet'!$B$11,Paramètres!$A$1:$I$89,5,0)</f>
        <v>223.56880000000007</v>
      </c>
      <c r="BF41" s="13">
        <f t="shared" si="37"/>
        <v>54.889818841790316</v>
      </c>
      <c r="BG41" s="20">
        <f t="shared" si="7"/>
        <v>484.98209448278493</v>
      </c>
      <c r="BH41" s="57">
        <f t="shared" si="8"/>
        <v>778.31542781611824</v>
      </c>
      <c r="BI41" s="57">
        <f ca="1">AVERAGE(OFFSET($BH$3,0,0,'Données projet'!$E$11+1,1))-AVERAGE(OFFSET($H$3,0,0,'Données projet'!$E$11+1,1))</f>
        <v>495.6473104257044</v>
      </c>
      <c r="BJ41" s="57">
        <f t="shared" si="38"/>
        <v>430.92527296485201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25.46386226017307</v>
      </c>
      <c r="BQ41" s="21">
        <f>EXP(-LN(2)/25)*BQ40+(1-EXP(-LN(2)/25))/(LN(2)/25)*Calculateur!BL41*Calculateur!BN41*VLOOKUP('Données projet'!$B$11,Paramètres!$A$1:$I$89,3,0)*0.475*44/12</f>
        <v>40.332332878311163</v>
      </c>
      <c r="BR41" s="21">
        <f>EXP(-LN(2)/2)*BR40+(1-EXP(-LN(2)/2))/(LN(2)/2)*BL41*BO41*VLOOKUP('Données projet'!$B$11,Paramètres!$A$1:$I$89,3,0)*0.475*44/12</f>
        <v>4.5738204315898229E-2</v>
      </c>
      <c r="BS41" s="22">
        <f t="shared" si="9"/>
        <v>65.841933342800132</v>
      </c>
      <c r="BT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7" t="e">
        <f t="shared" si="11"/>
        <v>#NUM!</v>
      </c>
      <c r="CD41" s="57">
        <f ca="1">AVERAGE(OFFSET($CC$3,0,0,'Données projet'!$E$12+1,1))-AVERAGE(OFFSET($H$3,0,0,'Données projet'!$E$12+1,1))</f>
        <v>187.80389738728508</v>
      </c>
      <c r="CE41" s="57">
        <f t="shared" si="40"/>
        <v>439.28159165815265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105.41314795842101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7.713244936852709E-2</v>
      </c>
      <c r="CN41" s="22">
        <f t="shared" si="12"/>
        <v>105.49028040778954</v>
      </c>
      <c r="CO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8.4</v>
      </c>
      <c r="CT41" s="12">
        <f>IF('Données projet'!$A$140&gt;35,CT40+CS41-DB40,IF(A41&lt;'Données projet'!$A$140,$CQ$205^A41,IF(A41='Données projet'!$A$140,'Données projet'!$B$140,CT40+CS41-DB40)))</f>
        <v>120.20000000000002</v>
      </c>
      <c r="CU41" s="17">
        <f>CT41*VLOOKUP('Données projet'!$B$13,Paramètres!$A$1:$I$89,3,0)*VLOOKUP('Données projet'!$B$13,Paramètres!$A$1:$I$89,5,0)</f>
        <v>108.75696000000002</v>
      </c>
      <c r="CV41" s="13">
        <f t="shared" si="41"/>
        <v>29.037921223305609</v>
      </c>
      <c r="CW41" s="20">
        <f t="shared" si="13"/>
        <v>239.99275146392395</v>
      </c>
      <c r="CX41" s="57">
        <f t="shared" si="14"/>
        <v>533.32608479725729</v>
      </c>
      <c r="CY41" s="57">
        <f ca="1">AVERAGE(OFFSET($CX$3,0,0,'Données projet'!$E$13+1,1))-AVERAGE(OFFSET($H$3,0,0,'Données projet'!$E$13+1,1))</f>
        <v>364.3481978218424</v>
      </c>
      <c r="CZ41" s="57">
        <f t="shared" si="42"/>
        <v>231.36959598460686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8.5110840933935616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8.5110840933935616</v>
      </c>
      <c r="DJ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6.8</v>
      </c>
      <c r="DO41" s="12">
        <f>IF('Données projet'!$A$166&gt;35,DO40+DN41-DW40,IF(A41&lt;'Données projet'!$A$166,$DL$205^A41,IF(A41='Données projet'!$A$166,'Données projet'!$B$166,DO40+DN41-DW40)))</f>
        <v>156.40000000000003</v>
      </c>
      <c r="DP41" s="17">
        <f>DO41*VLOOKUP('Données projet'!$B$14,Paramètres!$A$1:$I$89,3,0)*VLOOKUP('Données projet'!$B$14,Paramètres!$A$1:$I$89,5,0)</f>
        <v>114.67248000000002</v>
      </c>
      <c r="DQ41" s="13">
        <f t="shared" si="43"/>
        <v>30.42917784146039</v>
      </c>
      <c r="DR41" s="20">
        <f t="shared" si="16"/>
        <v>252.71872074054355</v>
      </c>
      <c r="DS41" s="57">
        <f t="shared" si="17"/>
        <v>546.05205407387689</v>
      </c>
      <c r="DT41" s="57">
        <f ca="1">AVERAGE(OFFSET($DS$3,0,0,'Données projet'!$E$14+1,1))-AVERAGE(OFFSET($H$3,0,0,'Données projet'!$E$14+1,1))</f>
        <v>239.25212250019609</v>
      </c>
      <c r="DU41" s="57">
        <f t="shared" si="44"/>
        <v>213.58492101729695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10</v>
      </c>
      <c r="EJ41" s="12">
        <f>IF('Données projet'!$A$192&gt;35,EJ40+EI41-ER40,IF(A41&lt;'Données projet'!$A$192,$EG$205^A41,IF(A41='Données projet'!$A$192,'Données projet'!$B$192,EJ40+EI41-ER40)))</f>
        <v>141</v>
      </c>
      <c r="EK41" s="17">
        <f>EJ41*VLOOKUP('Données projet'!$B$15,Paramètres!$A$1:$I$89,3,0)*VLOOKUP('Données projet'!$B$15,Paramètres!$A$1:$I$89,5,0)</f>
        <v>120.97800000000002</v>
      </c>
      <c r="EL41" s="13">
        <f t="shared" si="45"/>
        <v>31.902993864447531</v>
      </c>
      <c r="EM41" s="20">
        <f t="shared" si="19"/>
        <v>266.26773098057953</v>
      </c>
      <c r="EN41" s="57">
        <f t="shared" si="20"/>
        <v>559.60106431391284</v>
      </c>
      <c r="EO41" s="57">
        <f ca="1">AVERAGE(OFFSET($EN$3,0,0,'Données projet'!$E$15+1,1))-AVERAGE(OFFSET($H$3,0,0,'Données projet'!$E$15+1,1))</f>
        <v>447.10969593632467</v>
      </c>
      <c r="EP41" s="57">
        <f t="shared" si="46"/>
        <v>256.77417912163997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13.263731693259684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13.263731693259684</v>
      </c>
      <c r="EZ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7" t="e">
        <f t="shared" si="23"/>
        <v>#N/A</v>
      </c>
      <c r="FJ41" s="57" t="e">
        <f ca="1">AVERAGE(OFFSET($FI$3,0,0,'Données projet'!$E$16+1,1))-AVERAGE(OFFSET($H$3,0,0,'Données projet'!$E$16+1,1))</f>
        <v>#N/A</v>
      </c>
      <c r="FK41" s="57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7" t="e">
        <f t="shared" si="26"/>
        <v>#N/A</v>
      </c>
      <c r="GE41" s="57" t="e">
        <f ca="1">AVERAGE(OFFSET($GD$3,0,0,'Données projet'!$E$17+1,1))-AVERAGE(OFFSET($H$3,0,0,'Données projet'!$E$17+1,1))</f>
        <v>#N/A</v>
      </c>
      <c r="GF41" s="57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7" t="e">
        <f t="shared" si="29"/>
        <v>#N/A</v>
      </c>
      <c r="GZ41" s="57" t="e">
        <f ca="1">AVERAGE(OFFSET($GY$3,0,0,'Données projet'!$E$18+1,1))-AVERAGE(OFFSET($H$3,0,0,'Données projet'!$E$18+1,1))</f>
        <v>#N/A</v>
      </c>
      <c r="HA41" s="57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0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4">
        <f t="shared" si="1"/>
        <v>256.66666666666669</v>
      </c>
      <c r="I42" s="6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7">
        <f t="shared" si="0"/>
        <v>941.83325468417297</v>
      </c>
      <c r="S42" s="57">
        <f ca="1">AVERAGE(OFFSET($R$3,0,0,'Données projet'!$E$9+1,1))-AVERAGE(OFFSET($H$3,0,0,'Données projet'!$E$9+1,1))</f>
        <v>443.34220761968419</v>
      </c>
      <c r="T42" s="57">
        <f t="shared" si="34"/>
        <v>546.58234447298014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25.998513450362282</v>
      </c>
      <c r="AA42" s="21">
        <f>EXP(-LN(2)/25)*AA41+(1-EXP(-LN(2)/25))/(LN(2)/25)*Calculateur!V42*Calculateur!X42*VLOOKUP('Données projet'!$B$9,Paramètres!$A$1:$I$89,3,0)*0.475*44/12</f>
        <v>17.092770324709193</v>
      </c>
      <c r="AB42" s="21">
        <f>EXP(-LN(2)/2)*AB41+(1-EXP(-LN(2)/2))/(LN(2)/2)*V42*Y42*VLOOKUP('Données projet'!$B$9,Paramètres!$A$1:$I$89,3,0)*0.475*44/12</f>
        <v>0.2670122197901087</v>
      </c>
      <c r="AC42" s="22">
        <f t="shared" si="3"/>
        <v>43.358295994861585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32</v>
      </c>
      <c r="AI42" s="13">
        <f>IF('Données projet'!$A$62&gt;35,AI41+AH42-AQ41,IF(A42&lt;'Données projet'!$A$62,$AF$205^A42,IF(A42='Données projet'!$A$62,'Données projet'!$B$62,AI41+AH42-AQ41)))</f>
        <v>545</v>
      </c>
      <c r="AJ42" s="13">
        <f>AI42*VLOOKUP('Données projet'!$B$10,Paramètres!$A$1:$I$89,3,0)*VLOOKUP('Données projet'!$B$10,Paramètres!$A$1:$I$89,5,0)</f>
        <v>255.06</v>
      </c>
      <c r="AK42" s="13">
        <f t="shared" si="35"/>
        <v>61.668196852621932</v>
      </c>
      <c r="AL42" s="20">
        <f t="shared" si="4"/>
        <v>551.63494285164984</v>
      </c>
      <c r="AM42" s="57">
        <f t="shared" si="5"/>
        <v>844.9682761849831</v>
      </c>
      <c r="AN42" s="57">
        <f ca="1">AVERAGE(OFFSET($AM$3,0,0,'Données projet'!$E$10+1,1))-AVERAGE(OFFSET($H$3,0,0,'Données projet'!$E$10+1,1))</f>
        <v>524.3999528951972</v>
      </c>
      <c r="AO42" s="57">
        <f t="shared" si="36"/>
        <v>459.3547783500515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26.497979330601794</v>
      </c>
      <c r="AV42" s="21">
        <f>EXP(-LN(2)/25)*AV41+(1-EXP(-LN(2)/25))/(LN(2)/25)*Calculateur!AQ42*Calculateur!AS42*VLOOKUP('Données projet'!$B$10,Paramètres!$A$1:$I$89,3,0)*0.475*44/12</f>
        <v>41.639114067764147</v>
      </c>
      <c r="AW42" s="21">
        <f>EXP(-LN(2)/2)*AW41+(1-EXP(-LN(2)/2))/(LN(2)/2)*AQ42*AT42*VLOOKUP('Données projet'!$B$10,Paramètres!$A$1:$I$89,3,0)*0.475*44/12</f>
        <v>5.2690088727421008E-2</v>
      </c>
      <c r="AX42" s="21">
        <f t="shared" si="6"/>
        <v>68.189783487093365</v>
      </c>
      <c r="AY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29.6</v>
      </c>
      <c r="BD42" s="12">
        <f>IF('Données projet'!$A$88&gt;35,BD41+BC42-BL41,IF(A42&lt;'Données projet'!$A$88,$BA$205^A42,IF(A42='Données projet'!$A$88,'Données projet'!$B$88,BD41+BC42-BL41)))</f>
        <v>494.4000000000002</v>
      </c>
      <c r="BE42" s="13">
        <f>BD42*VLOOKUP('Données projet'!$B$11,Paramètres!$A$1:$I$89,3,0)*VLOOKUP('Données projet'!$B$11,Paramètres!$A$1:$I$89,5,0)</f>
        <v>237.80640000000011</v>
      </c>
      <c r="BF42" s="13">
        <f t="shared" si="37"/>
        <v>57.967314838085144</v>
      </c>
      <c r="BG42" s="20">
        <f t="shared" si="7"/>
        <v>515.13922000966511</v>
      </c>
      <c r="BH42" s="57">
        <f t="shared" si="8"/>
        <v>808.47255334299848</v>
      </c>
      <c r="BI42" s="57">
        <f ca="1">AVERAGE(OFFSET($BH$3,0,0,'Données projet'!$E$11+1,1))-AVERAGE(OFFSET($H$3,0,0,'Données projet'!$E$11+1,1))</f>
        <v>495.6473104257044</v>
      </c>
      <c r="BJ42" s="57">
        <f t="shared" si="38"/>
        <v>430.92527296485201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24.964531452673455</v>
      </c>
      <c r="BQ42" s="21">
        <f>EXP(-LN(2)/25)*BQ41+(1-EXP(-LN(2)/25))/(LN(2)/25)*Calculateur!BL42*Calculateur!BN42*VLOOKUP('Données projet'!$B$11,Paramètres!$A$1:$I$89,3,0)*0.475*44/12</f>
        <v>39.229443114768536</v>
      </c>
      <c r="BR42" s="21">
        <f>EXP(-LN(2)/2)*BR41+(1-EXP(-LN(2)/2))/(LN(2)/2)*BL42*BO42*VLOOKUP('Données projet'!$B$11,Paramètres!$A$1:$I$89,3,0)*0.475*44/12</f>
        <v>3.2341794431067453E-2</v>
      </c>
      <c r="BS42" s="22">
        <f t="shared" si="9"/>
        <v>64.226316361873046</v>
      </c>
      <c r="BT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7" t="e">
        <f t="shared" si="11"/>
        <v>#NUM!</v>
      </c>
      <c r="CD42" s="57">
        <f ca="1">AVERAGE(OFFSET($CC$3,0,0,'Données projet'!$E$12+1,1))-AVERAGE(OFFSET($H$3,0,0,'Données projet'!$E$12+1,1))</f>
        <v>187.80389738728508</v>
      </c>
      <c r="CE42" s="57">
        <f t="shared" si="40"/>
        <v>439.28159165815265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103.34606042262796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5.4540877998013541E-2</v>
      </c>
      <c r="CN42" s="22">
        <f t="shared" si="12"/>
        <v>103.40060130062596</v>
      </c>
      <c r="CO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8.4</v>
      </c>
      <c r="CT42" s="12">
        <f>IF('Données projet'!$A$140&gt;35,CT41+CS42-DB41,IF(A42&lt;'Données projet'!$A$140,$CQ$205^A42,IF(A42='Données projet'!$A$140,'Données projet'!$B$140,CT41+CS42-DB41)))</f>
        <v>128.60000000000002</v>
      </c>
      <c r="CU42" s="17">
        <f>CT42*VLOOKUP('Données projet'!$B$13,Paramètres!$A$1:$I$89,3,0)*VLOOKUP('Données projet'!$B$13,Paramètres!$A$1:$I$89,5,0)</f>
        <v>116.35728000000002</v>
      </c>
      <c r="CV42" s="13">
        <f t="shared" si="41"/>
        <v>30.823876427820704</v>
      </c>
      <c r="CW42" s="20">
        <f t="shared" si="13"/>
        <v>256.34051411178774</v>
      </c>
      <c r="CX42" s="57">
        <f t="shared" si="14"/>
        <v>549.67384744512105</v>
      </c>
      <c r="CY42" s="57">
        <f ca="1">AVERAGE(OFFSET($CX$3,0,0,'Données projet'!$E$13+1,1))-AVERAGE(OFFSET($H$3,0,0,'Données projet'!$E$13+1,1))</f>
        <v>364.3481978218424</v>
      </c>
      <c r="CZ42" s="57">
        <f t="shared" si="42"/>
        <v>231.36959598460686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8.344186925570817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8.344186925570817</v>
      </c>
      <c r="DJ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6.8</v>
      </c>
      <c r="DO42" s="12">
        <f>IF('Données projet'!$A$166&gt;35,DO41+DN42-DW41,IF(A42&lt;'Données projet'!$A$166,$DL$205^A42,IF(A42='Données projet'!$A$166,'Données projet'!$B$166,DO41+DN42-DW41)))</f>
        <v>163.20000000000005</v>
      </c>
      <c r="DP42" s="17">
        <f>DO42*VLOOKUP('Données projet'!$B$14,Paramètres!$A$1:$I$89,3,0)*VLOOKUP('Données projet'!$B$14,Paramètres!$A$1:$I$89,5,0)</f>
        <v>119.65824000000003</v>
      </c>
      <c r="DQ42" s="13">
        <f t="shared" si="43"/>
        <v>31.595276160231336</v>
      </c>
      <c r="DR42" s="20">
        <f t="shared" si="16"/>
        <v>263.43320731240294</v>
      </c>
      <c r="DS42" s="57">
        <f t="shared" si="17"/>
        <v>556.76654064573631</v>
      </c>
      <c r="DT42" s="57">
        <f ca="1">AVERAGE(OFFSET($DS$3,0,0,'Données projet'!$E$14+1,1))-AVERAGE(OFFSET($H$3,0,0,'Données projet'!$E$14+1,1))</f>
        <v>239.25212250019609</v>
      </c>
      <c r="DU42" s="57">
        <f t="shared" si="44"/>
        <v>213.58492101729695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10</v>
      </c>
      <c r="EJ42" s="12">
        <f>IF('Données projet'!$A$192&gt;35,EJ41+EI42-ER41,IF(A42&lt;'Données projet'!$A$192,$EG$205^A42,IF(A42='Données projet'!$A$192,'Données projet'!$B$192,EJ41+EI42-ER41)))</f>
        <v>151</v>
      </c>
      <c r="EK42" s="17">
        <f>EJ42*VLOOKUP('Données projet'!$B$15,Paramètres!$A$1:$I$89,3,0)*VLOOKUP('Données projet'!$B$15,Paramètres!$A$1:$I$89,5,0)</f>
        <v>129.55800000000002</v>
      </c>
      <c r="EL42" s="13">
        <f t="shared" si="45"/>
        <v>33.894205874050066</v>
      </c>
      <c r="EM42" s="20">
        <f t="shared" si="19"/>
        <v>284.67925856397056</v>
      </c>
      <c r="EN42" s="57">
        <f t="shared" si="20"/>
        <v>578.01259189730388</v>
      </c>
      <c r="EO42" s="57">
        <f ca="1">AVERAGE(OFFSET($EN$3,0,0,'Données projet'!$E$15+1,1))-AVERAGE(OFFSET($H$3,0,0,'Données projet'!$E$15+1,1))</f>
        <v>447.10969593632467</v>
      </c>
      <c r="EP42" s="57">
        <f t="shared" si="46"/>
        <v>256.77417912163997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13.003638004832366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13.003638004832366</v>
      </c>
      <c r="EZ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7" t="e">
        <f t="shared" si="23"/>
        <v>#N/A</v>
      </c>
      <c r="FJ42" s="57" t="e">
        <f ca="1">AVERAGE(OFFSET($FI$3,0,0,'Données projet'!$E$16+1,1))-AVERAGE(OFFSET($H$3,0,0,'Données projet'!$E$16+1,1))</f>
        <v>#N/A</v>
      </c>
      <c r="FK42" s="57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7" t="e">
        <f t="shared" si="26"/>
        <v>#N/A</v>
      </c>
      <c r="GE42" s="57" t="e">
        <f ca="1">AVERAGE(OFFSET($GD$3,0,0,'Données projet'!$E$17+1,1))-AVERAGE(OFFSET($H$3,0,0,'Données projet'!$E$17+1,1))</f>
        <v>#N/A</v>
      </c>
      <c r="GF42" s="57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7" t="e">
        <f t="shared" si="29"/>
        <v>#N/A</v>
      </c>
      <c r="GZ42" s="57" t="e">
        <f ca="1">AVERAGE(OFFSET($GY$3,0,0,'Données projet'!$E$18+1,1))-AVERAGE(OFFSET($H$3,0,0,'Données projet'!$E$18+1,1))</f>
        <v>#N/A</v>
      </c>
      <c r="HA42" s="57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0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4">
        <f t="shared" si="1"/>
        <v>256.66666666666669</v>
      </c>
      <c r="I43" s="6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7">
        <f t="shared" si="0"/>
        <v>971.96605951870743</v>
      </c>
      <c r="S43" s="57">
        <f ca="1">AVERAGE(OFFSET($R$3,0,0,'Données projet'!$E$9+1,1))-AVERAGE(OFFSET($H$3,0,0,'Données projet'!$E$9+1,1))</f>
        <v>443.34220761968419</v>
      </c>
      <c r="T43" s="57">
        <f t="shared" si="34"/>
        <v>546.58234447298014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54.854059870519919</v>
      </c>
      <c r="AA43" s="21">
        <f>EXP(-LN(2)/25)*AA42+(1-EXP(-LN(2)/25))/(LN(2)/25)*Calculateur!V43*Calculateur!X43*VLOOKUP('Données projet'!$B$9,Paramètres!$A$1:$I$89,3,0)*0.475*44/12</f>
        <v>16.625367621310293</v>
      </c>
      <c r="AB43" s="21">
        <f>EXP(-LN(2)/2)*AB42+(1-EXP(-LN(2)/2))/(LN(2)/2)*V43*Y43*VLOOKUP('Données projet'!$B$9,Paramètres!$A$1:$I$89,3,0)*0.475*44/12</f>
        <v>0.18880615127325873</v>
      </c>
      <c r="AC43" s="22">
        <f t="shared" si="3"/>
        <v>71.668233643103463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577</v>
      </c>
      <c r="AG43" s="12">
        <f>VLOOKUP(A43,'Données projet'!$A$61:$I$81,9,0)</f>
        <v>32</v>
      </c>
      <c r="AH43" s="12">
        <f t="array" ref="AH43">INDEX(AG:AG,MIN(IF(ISNUMBER(AG43:AG239),ROW(AG43:AG239),"")))</f>
        <v>32</v>
      </c>
      <c r="AI43" s="13">
        <f>IF('Données projet'!$A$62&gt;35,AI42+AH43-AQ42,IF(A43&lt;'Données projet'!$A$62,$AF$205^A43,IF(A43='Données projet'!$A$62,'Données projet'!$B$62,AI42+AH43-AQ42)))</f>
        <v>577</v>
      </c>
      <c r="AJ43" s="13">
        <f>AI43*VLOOKUP('Données projet'!$B$10,Paramètres!$A$1:$I$89,3,0)*VLOOKUP('Données projet'!$B$10,Paramètres!$A$1:$I$89,5,0)</f>
        <v>270.036</v>
      </c>
      <c r="AK43" s="13">
        <f t="shared" si="35"/>
        <v>64.856909337133416</v>
      </c>
      <c r="AL43" s="20">
        <f t="shared" si="4"/>
        <v>583.27181709550734</v>
      </c>
      <c r="AM43" s="57">
        <f t="shared" si="5"/>
        <v>876.60515042884072</v>
      </c>
      <c r="AN43" s="57">
        <f ca="1">AVERAGE(OFFSET($AM$3,0,0,'Données projet'!$E$10+1,1))-AVERAGE(OFFSET($H$3,0,0,'Données projet'!$E$10+1,1))</f>
        <v>524.3999528951972</v>
      </c>
      <c r="AO43" s="57">
        <f t="shared" si="36"/>
        <v>459.3547783500515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84</v>
      </c>
      <c r="AR43" s="16">
        <f>IF(ISNA(VLOOKUP(A43,'Données projet'!$A$61:$I$81,5,0)),0%,VLOOKUP(A43,'Données projet'!$A$61:$I$81,5,0)*VLOOKUP('Données projet'!$B$10,Paramètres!$A$1:$I$89,7,0))</f>
        <v>0.55000000000000004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54.660816147831753</v>
      </c>
      <c r="AV43" s="21">
        <f>EXP(-LN(2)/25)*AV42+(1-EXP(-LN(2)/25))/(LN(2)/25)*Calculateur!AQ43*Calculateur!AS43*VLOOKUP('Données projet'!$B$10,Paramètres!$A$1:$I$89,3,0)*0.475*44/12</f>
        <v>40.500490303875296</v>
      </c>
      <c r="AW43" s="21">
        <f>EXP(-LN(2)/2)*AW42+(1-EXP(-LN(2)/2))/(LN(2)/2)*AQ43*AT43*VLOOKUP('Données projet'!$B$10,Paramètres!$A$1:$I$89,3,0)*0.475*44/12</f>
        <v>3.7257519040480261E-2</v>
      </c>
      <c r="AX43" s="21">
        <f t="shared" si="6"/>
        <v>95.198563970747529</v>
      </c>
      <c r="AY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524</v>
      </c>
      <c r="BB43" s="12">
        <f>VLOOKUP(A43,'Données projet'!$A$87:$I$107,9,0)</f>
        <v>29.6</v>
      </c>
      <c r="BC43" s="12">
        <f t="array" ref="BC43">INDEX(BB:BB,MIN(IF(ISNUMBER(BB43:BB239),ROW(BB43:BB239),"")))</f>
        <v>29.6</v>
      </c>
      <c r="BD43" s="12">
        <f>IF('Données projet'!$A$88&gt;35,BD42+BC43-BL42,IF(A43&lt;'Données projet'!$A$88,$BA$205^A43,IF(A43='Données projet'!$A$88,'Données projet'!$B$88,BD42+BC43-BL42)))</f>
        <v>524.00000000000023</v>
      </c>
      <c r="BE43" s="13">
        <f>BD43*VLOOKUP('Données projet'!$B$11,Paramètres!$A$1:$I$89,3,0)*VLOOKUP('Données projet'!$B$11,Paramètres!$A$1:$I$89,5,0)</f>
        <v>252.04400000000012</v>
      </c>
      <c r="BF43" s="13">
        <f t="shared" si="37"/>
        <v>61.023425047084345</v>
      </c>
      <c r="BG43" s="20">
        <f t="shared" si="7"/>
        <v>545.25909862367212</v>
      </c>
      <c r="BH43" s="57">
        <f t="shared" si="8"/>
        <v>838.59243195700537</v>
      </c>
      <c r="BI43" s="57">
        <f ca="1">AVERAGE(OFFSET($BH$3,0,0,'Données projet'!$E$11+1,1))-AVERAGE(OFFSET($H$3,0,0,'Données projet'!$E$11+1,1))</f>
        <v>495.6473104257044</v>
      </c>
      <c r="BJ43" s="57">
        <f t="shared" si="38"/>
        <v>430.92527296485201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77</v>
      </c>
      <c r="BM43" s="16">
        <f>IF(ISNA(VLOOKUP(A43,'Données projet'!$A$87:$I$107,5,0)),0%,VLOOKUP(A43,'Données projet'!$A$87:$I$107,5,0)*VLOOKUP('Données projet'!$B$11,Paramètres!$A$1:$I$89,7,0))</f>
        <v>0.55000000000000004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51.497574472610026</v>
      </c>
      <c r="BQ43" s="21">
        <f>EXP(-LN(2)/25)*BQ42+(1-EXP(-LN(2)/25))/(LN(2)/25)*Calculateur!BL43*Calculateur!BN43*VLOOKUP('Données projet'!$B$11,Paramètres!$A$1:$I$89,3,0)*0.475*44/12</f>
        <v>38.156711929808438</v>
      </c>
      <c r="BR43" s="21">
        <f>EXP(-LN(2)/2)*BR42+(1-EXP(-LN(2)/2))/(LN(2)/2)*BL43*BO43*VLOOKUP('Données projet'!$B$11,Paramètres!$A$1:$I$89,3,0)*0.475*44/12</f>
        <v>2.2869102157949114E-2</v>
      </c>
      <c r="BS43" s="22">
        <f t="shared" si="9"/>
        <v>89.677155504576419</v>
      </c>
      <c r="BT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7" t="e">
        <f t="shared" si="11"/>
        <v>#NUM!</v>
      </c>
      <c r="CD43" s="57">
        <f ca="1">AVERAGE(OFFSET($CC$3,0,0,'Données projet'!$E$12+1,1))-AVERAGE(OFFSET($H$3,0,0,'Données projet'!$E$12+1,1))</f>
        <v>187.80389738728508</v>
      </c>
      <c r="CE43" s="57">
        <f t="shared" si="40"/>
        <v>439.28159165815265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101.3195072126129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3.8566224684263545E-2</v>
      </c>
      <c r="CN43" s="22">
        <f t="shared" si="12"/>
        <v>101.35807343729716</v>
      </c>
      <c r="CO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137</v>
      </c>
      <c r="CR43" s="12">
        <f>VLOOKUP(A43,'Données projet'!$A$139:$I$159,9,0)</f>
        <v>8.4</v>
      </c>
      <c r="CS43" s="12">
        <f t="array" ref="CS43">INDEX(CR:CR,MIN(IF(ISNUMBER(CR43:CR239),ROW(CR43:CR239),"")))</f>
        <v>8.4</v>
      </c>
      <c r="CT43" s="12">
        <f>IF('Données projet'!$A$140&gt;35,CT42+CS43-DB42,IF(A43&lt;'Données projet'!$A$140,$CQ$205^A43,IF(A43='Données projet'!$A$140,'Données projet'!$B$140,CT42+CS43-DB42)))</f>
        <v>137.00000000000003</v>
      </c>
      <c r="CU43" s="17">
        <f>CT43*VLOOKUP('Données projet'!$B$13,Paramètres!$A$1:$I$89,3,0)*VLOOKUP('Données projet'!$B$13,Paramètres!$A$1:$I$89,5,0)</f>
        <v>123.95760000000001</v>
      </c>
      <c r="CV43" s="13">
        <f t="shared" si="41"/>
        <v>32.59629414926458</v>
      </c>
      <c r="CW43" s="20">
        <f t="shared" si="13"/>
        <v>272.6646989766358</v>
      </c>
      <c r="CX43" s="57">
        <f t="shared" si="14"/>
        <v>565.99803230996918</v>
      </c>
      <c r="CY43" s="57">
        <f ca="1">AVERAGE(OFFSET($CX$3,0,0,'Données projet'!$E$13+1,1))-AVERAGE(OFFSET($H$3,0,0,'Données projet'!$E$13+1,1))</f>
        <v>364.3481978218424</v>
      </c>
      <c r="CZ43" s="57">
        <f t="shared" si="42"/>
        <v>231.36959598460686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17.212635792006616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17.212635792006616</v>
      </c>
      <c r="DJ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170</v>
      </c>
      <c r="DM43" s="12">
        <f>VLOOKUP(A43,'Données projet'!$A$165:$I$185,9,0)</f>
        <v>6.8</v>
      </c>
      <c r="DN43" s="12">
        <f t="array" ref="DN43">INDEX(DM:DM,MIN(IF(ISNUMBER(DM43:DM239),ROW(DM43:DM239),"")))</f>
        <v>6.8</v>
      </c>
      <c r="DO43" s="12">
        <f>IF('Données projet'!$A$166&gt;35,DO42+DN43-DW42,IF(A43&lt;'Données projet'!$A$166,$DL$205^A43,IF(A43='Données projet'!$A$166,'Données projet'!$B$166,DO42+DN43-DW42)))</f>
        <v>170.00000000000006</v>
      </c>
      <c r="DP43" s="17">
        <f>DO43*VLOOKUP('Données projet'!$B$14,Paramètres!$A$1:$I$89,3,0)*VLOOKUP('Données projet'!$B$14,Paramètres!$A$1:$I$89,5,0)</f>
        <v>124.64400000000003</v>
      </c>
      <c r="DQ43" s="13">
        <f t="shared" si="43"/>
        <v>32.755730870217214</v>
      </c>
      <c r="DR43" s="20">
        <f t="shared" si="16"/>
        <v>274.1378645989617</v>
      </c>
      <c r="DS43" s="57">
        <f t="shared" si="17"/>
        <v>567.47119793229501</v>
      </c>
      <c r="DT43" s="57">
        <f ca="1">AVERAGE(OFFSET($DS$3,0,0,'Données projet'!$E$14+1,1))-AVERAGE(OFFSET($H$3,0,0,'Données projet'!$E$14+1,1))</f>
        <v>239.25212250019609</v>
      </c>
      <c r="DU43" s="57">
        <f t="shared" si="44"/>
        <v>213.58492101729695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161</v>
      </c>
      <c r="EH43" s="12">
        <f>VLOOKUP(A43,'Données projet'!$A$191:$I$211,9,0)</f>
        <v>10</v>
      </c>
      <c r="EI43" s="12">
        <f t="array" ref="EI43">INDEX(EH:EH,MIN(IF(ISNUMBER(EH43:EH239),ROW(EH43:EH239),"")))</f>
        <v>10</v>
      </c>
      <c r="EJ43" s="12">
        <f>IF('Données projet'!$A$192&gt;35,EJ42+EI43-ER42,IF(A43&lt;'Données projet'!$A$192,$EG$205^A43,IF(A43='Données projet'!$A$192,'Données projet'!$B$192,EJ42+EI43-ER42)))</f>
        <v>161</v>
      </c>
      <c r="EK43" s="17">
        <f>EJ43*VLOOKUP('Données projet'!$B$15,Paramètres!$A$1:$I$89,3,0)*VLOOKUP('Données projet'!$B$15,Paramètres!$A$1:$I$89,5,0)</f>
        <v>138.13800000000003</v>
      </c>
      <c r="EL43" s="13">
        <f t="shared" si="45"/>
        <v>35.870115614757175</v>
      </c>
      <c r="EM43" s="20">
        <f t="shared" si="19"/>
        <v>303.06413469570208</v>
      </c>
      <c r="EN43" s="57">
        <f t="shared" si="20"/>
        <v>596.39746802903539</v>
      </c>
      <c r="EO43" s="57">
        <f ca="1">AVERAGE(OFFSET($EN$3,0,0,'Données projet'!$E$15+1,1))-AVERAGE(OFFSET($H$3,0,0,'Données projet'!$E$15+1,1))</f>
        <v>447.10969593632467</v>
      </c>
      <c r="EP43" s="57">
        <f t="shared" si="46"/>
        <v>256.77417912163997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28</v>
      </c>
      <c r="ES43" s="16">
        <f>IF(ISNA(VLOOKUP(A43,'Données projet'!$A$191:$I$211,5,0)),0%,VLOOKUP(A43,'Données projet'!$A$191:$I$211,5,0)*VLOOKUP('Données projet'!$B$15,Paramètres!$A$1:$I$89,7,0))</f>
        <v>0.53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26.82428940588041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26.82428940588041</v>
      </c>
      <c r="EZ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7" t="e">
        <f t="shared" si="23"/>
        <v>#N/A</v>
      </c>
      <c r="FJ43" s="57" t="e">
        <f ca="1">AVERAGE(OFFSET($FI$3,0,0,'Données projet'!$E$16+1,1))-AVERAGE(OFFSET($H$3,0,0,'Données projet'!$E$16+1,1))</f>
        <v>#N/A</v>
      </c>
      <c r="FK43" s="57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7" t="e">
        <f t="shared" si="26"/>
        <v>#N/A</v>
      </c>
      <c r="GE43" s="57" t="e">
        <f ca="1">AVERAGE(OFFSET($GD$3,0,0,'Données projet'!$E$17+1,1))-AVERAGE(OFFSET($H$3,0,0,'Données projet'!$E$17+1,1))</f>
        <v>#N/A</v>
      </c>
      <c r="GF43" s="57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7" t="e">
        <f t="shared" si="29"/>
        <v>#N/A</v>
      </c>
      <c r="GZ43" s="57" t="e">
        <f ca="1">AVERAGE(OFFSET($GY$3,0,0,'Données projet'!$E$18+1,1))-AVERAGE(OFFSET($H$3,0,0,'Données projet'!$E$18+1,1))</f>
        <v>#N/A</v>
      </c>
      <c r="HA43" s="57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0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4">
        <f t="shared" si="1"/>
        <v>256.66666666666669</v>
      </c>
      <c r="I44" s="6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7">
        <f t="shared" si="0"/>
        <v>914.02899181487078</v>
      </c>
      <c r="S44" s="57">
        <f ca="1">AVERAGE(OFFSET($R$3,0,0,'Données projet'!$E$9+1,1))-AVERAGE(OFFSET($H$3,0,0,'Données projet'!$E$9+1,1))</f>
        <v>443.34220761968419</v>
      </c>
      <c r="T44" s="57">
        <f t="shared" si="34"/>
        <v>546.58234447298014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53.778405214131872</v>
      </c>
      <c r="AA44" s="21">
        <f>EXP(-LN(2)/25)*AA43+(1-EXP(-LN(2)/25))/(LN(2)/25)*Calculateur!V44*Calculateur!X44*VLOOKUP('Données projet'!$B$9,Paramètres!$A$1:$I$89,3,0)*0.475*44/12</f>
        <v>16.170746069415479</v>
      </c>
      <c r="AB44" s="21">
        <f>EXP(-LN(2)/2)*AB43+(1-EXP(-LN(2)/2))/(LN(2)/2)*V44*Y44*VLOOKUP('Données projet'!$B$9,Paramètres!$A$1:$I$89,3,0)*0.475*44/12</f>
        <v>0.13350610989505435</v>
      </c>
      <c r="AC44" s="22">
        <f t="shared" si="3"/>
        <v>70.082657393442403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29.8</v>
      </c>
      <c r="AI44" s="13">
        <f>IF('Données projet'!$A$62&gt;35,AI43+AH44-AQ43,IF(A44&lt;'Données projet'!$A$62,$AF$205^A44,IF(A44='Données projet'!$A$62,'Données projet'!$B$62,AI43+AH44-AQ43)))</f>
        <v>522.79999999999995</v>
      </c>
      <c r="AJ44" s="13">
        <f>AI44*VLOOKUP('Données projet'!$B$10,Paramètres!$A$1:$I$89,3,0)*VLOOKUP('Données projet'!$B$10,Paramètres!$A$1:$I$89,5,0)</f>
        <v>244.67039999999997</v>
      </c>
      <c r="AK44" s="13">
        <f t="shared" si="35"/>
        <v>59.443259875819706</v>
      </c>
      <c r="AL44" s="20">
        <f t="shared" si="4"/>
        <v>529.66462428371926</v>
      </c>
      <c r="AM44" s="57">
        <f t="shared" si="5"/>
        <v>822.99795761705263</v>
      </c>
      <c r="AN44" s="57">
        <f ca="1">AVERAGE(OFFSET($AM$3,0,0,'Données projet'!$E$10+1,1))-AVERAGE(OFFSET($H$3,0,0,'Données projet'!$E$10+1,1))</f>
        <v>524.3999528951972</v>
      </c>
      <c r="AO44" s="57">
        <f t="shared" si="36"/>
        <v>459.3547783500515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53.588950882978587</v>
      </c>
      <c r="AV44" s="21">
        <f>EXP(-LN(2)/25)*AV43+(1-EXP(-LN(2)/25))/(LN(2)/25)*Calculateur!AQ44*Calculateur!AS44*VLOOKUP('Données projet'!$B$10,Paramètres!$A$1:$I$89,3,0)*0.475*44/12</f>
        <v>39.393002266687603</v>
      </c>
      <c r="AW44" s="21">
        <f>EXP(-LN(2)/2)*AW43+(1-EXP(-LN(2)/2))/(LN(2)/2)*AQ44*AT44*VLOOKUP('Données projet'!$B$10,Paramètres!$A$1:$I$89,3,0)*0.475*44/12</f>
        <v>2.6345044363710504E-2</v>
      </c>
      <c r="AX44" s="21">
        <f t="shared" si="6"/>
        <v>93.008298194029905</v>
      </c>
      <c r="AY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28.2</v>
      </c>
      <c r="BD44" s="12">
        <f>IF('Données projet'!$A$88&gt;35,BD43+BC44-BL43,IF(A44&lt;'Données projet'!$A$88,$BA$205^A44,IF(A44='Données projet'!$A$88,'Données projet'!$B$88,BD43+BC44-BL43)))</f>
        <v>475.20000000000027</v>
      </c>
      <c r="BE44" s="13">
        <f>BD44*VLOOKUP('Données projet'!$B$11,Paramètres!$A$1:$I$89,3,0)*VLOOKUP('Données projet'!$B$11,Paramètres!$A$1:$I$89,5,0)</f>
        <v>228.57120000000015</v>
      </c>
      <c r="BF44" s="13">
        <f t="shared" si="37"/>
        <v>55.973629609935699</v>
      </c>
      <c r="BG44" s="20">
        <f t="shared" si="7"/>
        <v>495.58224490397157</v>
      </c>
      <c r="BH44" s="57">
        <f t="shared" si="8"/>
        <v>788.91557823730489</v>
      </c>
      <c r="BI44" s="57">
        <f ca="1">AVERAGE(OFFSET($BH$3,0,0,'Données projet'!$E$11+1,1))-AVERAGE(OFFSET($H$3,0,0,'Données projet'!$E$11+1,1))</f>
        <v>495.6473104257044</v>
      </c>
      <c r="BJ44" s="57">
        <f t="shared" si="38"/>
        <v>430.92527296485201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50.487738447621048</v>
      </c>
      <c r="BQ44" s="21">
        <f>EXP(-LN(2)/25)*BQ43+(1-EXP(-LN(2)/25))/(LN(2)/25)*Calculateur!BL44*Calculateur!BN44*VLOOKUP('Données projet'!$B$11,Paramètres!$A$1:$I$89,3,0)*0.475*44/12</f>
        <v>37.113314635513554</v>
      </c>
      <c r="BR44" s="21">
        <f>EXP(-LN(2)/2)*BR43+(1-EXP(-LN(2)/2))/(LN(2)/2)*BL44*BO44*VLOOKUP('Données projet'!$B$11,Paramètres!$A$1:$I$89,3,0)*0.475*44/12</f>
        <v>1.6170897215533726E-2</v>
      </c>
      <c r="BS44" s="22">
        <f t="shared" si="9"/>
        <v>87.617223980350133</v>
      </c>
      <c r="BT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7" t="e">
        <f t="shared" si="11"/>
        <v>#NUM!</v>
      </c>
      <c r="CD44" s="57">
        <f ca="1">AVERAGE(OFFSET($CC$3,0,0,'Données projet'!$E$12+1,1))-AVERAGE(OFFSET($H$3,0,0,'Données projet'!$E$12+1,1))</f>
        <v>187.80389738728508</v>
      </c>
      <c r="CE44" s="57">
        <f t="shared" si="40"/>
        <v>439.28159165815265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99.332693474970839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2.7270438999006771E-2</v>
      </c>
      <c r="CN44" s="22">
        <f t="shared" si="12"/>
        <v>99.35996391396985</v>
      </c>
      <c r="CO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8.4</v>
      </c>
      <c r="CT44" s="12">
        <f>IF('Données projet'!$A$140&gt;35,CT43+CS44-DB43,IF(A44&lt;'Données projet'!$A$140,$CQ$205^A44,IF(A44='Données projet'!$A$140,'Données projet'!$B$140,CT43+CS44-DB43)))</f>
        <v>124.40000000000003</v>
      </c>
      <c r="CU44" s="17">
        <f>CT44*VLOOKUP('Données projet'!$B$13,Paramètres!$A$1:$I$89,3,0)*VLOOKUP('Données projet'!$B$13,Paramètres!$A$1:$I$89,5,0)</f>
        <v>112.55712000000003</v>
      </c>
      <c r="CV44" s="13">
        <f t="shared" si="41"/>
        <v>29.932653834140599</v>
      </c>
      <c r="CW44" s="20">
        <f t="shared" si="13"/>
        <v>248.16968942779496</v>
      </c>
      <c r="CX44" s="57">
        <f t="shared" si="14"/>
        <v>541.50302276112825</v>
      </c>
      <c r="CY44" s="57">
        <f ca="1">AVERAGE(OFFSET($CX$3,0,0,'Données projet'!$E$13+1,1))-AVERAGE(OFFSET($H$3,0,0,'Données projet'!$E$13+1,1))</f>
        <v>364.3481978218424</v>
      </c>
      <c r="CZ44" s="57">
        <f t="shared" si="42"/>
        <v>231.36959598460686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16.875106502796541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16.875106502796541</v>
      </c>
      <c r="DJ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</v>
      </c>
      <c r="DO44" s="12">
        <f>IF('Données projet'!$A$166&gt;35,DO43+DN44-DW43,IF(A44&lt;'Données projet'!$A$166,$DL$205^A44,IF(A44='Données projet'!$A$166,'Données projet'!$B$166,DO43+DN44-DW43)))</f>
        <v>178.00000000000006</v>
      </c>
      <c r="DP44" s="17">
        <f>DO44*VLOOKUP('Données projet'!$B$14,Paramètres!$A$1:$I$89,3,0)*VLOOKUP('Données projet'!$B$14,Paramètres!$A$1:$I$89,5,0)</f>
        <v>130.50960000000003</v>
      </c>
      <c r="DQ44" s="13">
        <f t="shared" si="43"/>
        <v>34.11408610445698</v>
      </c>
      <c r="DR44" s="20">
        <f t="shared" si="16"/>
        <v>286.7195866319293</v>
      </c>
      <c r="DS44" s="57">
        <f t="shared" si="17"/>
        <v>580.05291996526262</v>
      </c>
      <c r="DT44" s="57">
        <f ca="1">AVERAGE(OFFSET($DS$3,0,0,'Données projet'!$E$14+1,1))-AVERAGE(OFFSET($H$3,0,0,'Données projet'!$E$14+1,1))</f>
        <v>239.25212250019609</v>
      </c>
      <c r="DU44" s="57">
        <f t="shared" si="44"/>
        <v>213.58492101729695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11.4</v>
      </c>
      <c r="EJ44" s="12">
        <f>IF('Données projet'!$A$192&gt;35,EJ43+EI44-ER43,IF(A44&lt;'Données projet'!$A$192,$EG$205^A44,IF(A44='Données projet'!$A$192,'Données projet'!$B$192,EJ43+EI44-ER43)))</f>
        <v>144.4</v>
      </c>
      <c r="EK44" s="17">
        <f>EJ44*VLOOKUP('Données projet'!$B$15,Paramètres!$A$1:$I$89,3,0)*VLOOKUP('Données projet'!$B$15,Paramètres!$A$1:$I$89,5,0)</f>
        <v>123.89520000000003</v>
      </c>
      <c r="EL44" s="13">
        <f t="shared" si="45"/>
        <v>32.581794813999061</v>
      </c>
      <c r="EM44" s="20">
        <f t="shared" si="19"/>
        <v>272.53076596771507</v>
      </c>
      <c r="EN44" s="57">
        <f t="shared" si="20"/>
        <v>565.86409930104833</v>
      </c>
      <c r="EO44" s="57">
        <f ca="1">AVERAGE(OFFSET($EN$3,0,0,'Données projet'!$E$15+1,1))-AVERAGE(OFFSET($H$3,0,0,'Données projet'!$E$15+1,1))</f>
        <v>447.10969593632467</v>
      </c>
      <c r="EP44" s="57">
        <f t="shared" si="46"/>
        <v>256.77417912163997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26.2982814518321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26.2982814518321</v>
      </c>
      <c r="EZ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7" t="e">
        <f t="shared" si="23"/>
        <v>#N/A</v>
      </c>
      <c r="FJ44" s="57" t="e">
        <f ca="1">AVERAGE(OFFSET($FI$3,0,0,'Données projet'!$E$16+1,1))-AVERAGE(OFFSET($H$3,0,0,'Données projet'!$E$16+1,1))</f>
        <v>#N/A</v>
      </c>
      <c r="FK44" s="57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7" t="e">
        <f t="shared" si="26"/>
        <v>#N/A</v>
      </c>
      <c r="GE44" s="57" t="e">
        <f ca="1">AVERAGE(OFFSET($GD$3,0,0,'Données projet'!$E$17+1,1))-AVERAGE(OFFSET($H$3,0,0,'Données projet'!$E$17+1,1))</f>
        <v>#N/A</v>
      </c>
      <c r="GF44" s="57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7" t="e">
        <f t="shared" si="29"/>
        <v>#N/A</v>
      </c>
      <c r="GZ44" s="57" t="e">
        <f ca="1">AVERAGE(OFFSET($GY$3,0,0,'Données projet'!$E$18+1,1))-AVERAGE(OFFSET($H$3,0,0,'Données projet'!$E$18+1,1))</f>
        <v>#N/A</v>
      </c>
      <c r="HA44" s="57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0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4">
        <f t="shared" si="1"/>
        <v>256.66666666666669</v>
      </c>
      <c r="I45" s="6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7">
        <f t="shared" si="0"/>
        <v>940.8911465247445</v>
      </c>
      <c r="S45" s="57">
        <f ca="1">AVERAGE(OFFSET($R$3,0,0,'Données projet'!$E$9+1,1))-AVERAGE(OFFSET($H$3,0,0,'Données projet'!$E$9+1,1))</f>
        <v>443.34220761968419</v>
      </c>
      <c r="T45" s="57">
        <f t="shared" si="34"/>
        <v>546.58234447298014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52.723843489471037</v>
      </c>
      <c r="AA45" s="21">
        <f>EXP(-LN(2)/25)*AA44+(1-EXP(-LN(2)/25))/(LN(2)/25)*Calculateur!V45*Calculateur!X45*VLOOKUP('Données projet'!$B$9,Paramètres!$A$1:$I$89,3,0)*0.475*44/12</f>
        <v>15.728556167764737</v>
      </c>
      <c r="AB45" s="21">
        <f>EXP(-LN(2)/2)*AB44+(1-EXP(-LN(2)/2))/(LN(2)/2)*V45*Y45*VLOOKUP('Données projet'!$B$9,Paramètres!$A$1:$I$89,3,0)*0.475*44/12</f>
        <v>9.4403075636629363E-2</v>
      </c>
      <c r="AC45" s="22">
        <f t="shared" si="3"/>
        <v>68.546802732872408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29.8</v>
      </c>
      <c r="AI45" s="13">
        <f>IF('Données projet'!$A$62&gt;35,AI44+AH45-AQ44,IF(A45&lt;'Données projet'!$A$62,$AF$205^A45,IF(A45='Données projet'!$A$62,'Données projet'!$B$62,AI44+AH45-AQ44)))</f>
        <v>552.59999999999991</v>
      </c>
      <c r="AJ45" s="13">
        <f>AI45*VLOOKUP('Données projet'!$B$10,Paramètres!$A$1:$I$89,3,0)*VLOOKUP('Données projet'!$B$10,Paramètres!$A$1:$I$89,5,0)</f>
        <v>258.61679999999996</v>
      </c>
      <c r="AK45" s="13">
        <f t="shared" si="35"/>
        <v>62.427444141032439</v>
      </c>
      <c r="AL45" s="20">
        <f t="shared" si="4"/>
        <v>559.15205854563135</v>
      </c>
      <c r="AM45" s="57">
        <f t="shared" si="5"/>
        <v>852.48539187896472</v>
      </c>
      <c r="AN45" s="57">
        <f ca="1">AVERAGE(OFFSET($AM$3,0,0,'Données projet'!$E$10+1,1))-AVERAGE(OFFSET($H$3,0,0,'Données projet'!$E$10+1,1))</f>
        <v>524.3999528951972</v>
      </c>
      <c r="AO45" s="57">
        <f t="shared" si="36"/>
        <v>459.3547783500515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52.538104242195935</v>
      </c>
      <c r="AV45" s="21">
        <f>EXP(-LN(2)/25)*AV44+(1-EXP(-LN(2)/25))/(LN(2)/25)*Calculateur!AQ45*Calculateur!AS45*VLOOKUP('Données projet'!$B$10,Paramètres!$A$1:$I$89,3,0)*0.475*44/12</f>
        <v>38.315798548117073</v>
      </c>
      <c r="AW45" s="21">
        <f>EXP(-LN(2)/2)*AW44+(1-EXP(-LN(2)/2))/(LN(2)/2)*AQ45*AT45*VLOOKUP('Données projet'!$B$10,Paramètres!$A$1:$I$89,3,0)*0.475*44/12</f>
        <v>1.862875952024013E-2</v>
      </c>
      <c r="AX45" s="21">
        <f t="shared" si="6"/>
        <v>90.872531549833255</v>
      </c>
      <c r="AY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28.2</v>
      </c>
      <c r="BD45" s="12">
        <f>IF('Données projet'!$A$88&gt;35,BD44+BC45-BL44,IF(A45&lt;'Données projet'!$A$88,$BA$205^A45,IF(A45='Données projet'!$A$88,'Données projet'!$B$88,BD44+BC45-BL44)))</f>
        <v>503.40000000000026</v>
      </c>
      <c r="BE45" s="13">
        <f>BD45*VLOOKUP('Données projet'!$B$11,Paramètres!$A$1:$I$89,3,0)*VLOOKUP('Données projet'!$B$11,Paramètres!$A$1:$I$89,5,0)</f>
        <v>242.13540000000012</v>
      </c>
      <c r="BF45" s="13">
        <f t="shared" si="37"/>
        <v>58.89873506387687</v>
      </c>
      <c r="BG45" s="20">
        <f t="shared" si="7"/>
        <v>524.30111856958581</v>
      </c>
      <c r="BH45" s="57">
        <f t="shared" si="8"/>
        <v>817.63445190291918</v>
      </c>
      <c r="BI45" s="57">
        <f ca="1">AVERAGE(OFFSET($BH$3,0,0,'Données projet'!$E$11+1,1))-AVERAGE(OFFSET($H$3,0,0,'Données projet'!$E$11+1,1))</f>
        <v>495.6473104257044</v>
      </c>
      <c r="BJ45" s="57">
        <f t="shared" si="38"/>
        <v>430.92527296485201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49.49770469114295</v>
      </c>
      <c r="BQ45" s="21">
        <f>EXP(-LN(2)/25)*BQ44+(1-EXP(-LN(2)/25))/(LN(2)/25)*Calculateur!BL45*Calculateur!BN45*VLOOKUP('Données projet'!$B$11,Paramètres!$A$1:$I$89,3,0)*0.475*44/12</f>
        <v>36.098449095101046</v>
      </c>
      <c r="BR45" s="21">
        <f>EXP(-LN(2)/2)*BR44+(1-EXP(-LN(2)/2))/(LN(2)/2)*BL45*BO45*VLOOKUP('Données projet'!$B$11,Paramètres!$A$1:$I$89,3,0)*0.475*44/12</f>
        <v>1.1434551078974557E-2</v>
      </c>
      <c r="BS45" s="22">
        <f t="shared" si="9"/>
        <v>85.60758833732298</v>
      </c>
      <c r="BT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7" t="e">
        <f t="shared" si="11"/>
        <v>#NUM!</v>
      </c>
      <c r="CD45" s="57">
        <f ca="1">AVERAGE(OFFSET($CC$3,0,0,'Données projet'!$E$12+1,1))-AVERAGE(OFFSET($H$3,0,0,'Données projet'!$E$12+1,1))</f>
        <v>187.80389738728508</v>
      </c>
      <c r="CE45" s="57">
        <f t="shared" si="40"/>
        <v>439.28159165815265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97.384839942887211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1.9283112342131772E-2</v>
      </c>
      <c r="CN45" s="22">
        <f t="shared" si="12"/>
        <v>97.404123055229348</v>
      </c>
      <c r="CO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8.4</v>
      </c>
      <c r="CT45" s="12">
        <f>IF('Données projet'!$A$140&gt;35,CT44+CS45-DB44,IF(A45&lt;'Données projet'!$A$140,$CQ$205^A45,IF(A45='Données projet'!$A$140,'Données projet'!$B$140,CT44+CS45-DB44)))</f>
        <v>132.80000000000004</v>
      </c>
      <c r="CU45" s="17">
        <f>CT45*VLOOKUP('Données projet'!$B$13,Paramètres!$A$1:$I$89,3,0)*VLOOKUP('Données projet'!$B$13,Paramètres!$A$1:$I$89,5,0)</f>
        <v>120.15744000000002</v>
      </c>
      <c r="CV45" s="13">
        <f t="shared" si="41"/>
        <v>31.711716786129845</v>
      </c>
      <c r="CW45" s="20">
        <f t="shared" si="13"/>
        <v>264.50544806917623</v>
      </c>
      <c r="CX45" s="57">
        <f t="shared" si="14"/>
        <v>557.83878140250954</v>
      </c>
      <c r="CY45" s="57">
        <f ca="1">AVERAGE(OFFSET($CX$3,0,0,'Données projet'!$E$13+1,1))-AVERAGE(OFFSET($H$3,0,0,'Données projet'!$E$13+1,1))</f>
        <v>364.3481978218424</v>
      </c>
      <c r="CZ45" s="57">
        <f t="shared" si="42"/>
        <v>231.36959598460686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16.544195957075338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16.544195957075338</v>
      </c>
      <c r="DJ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</v>
      </c>
      <c r="DO45" s="12">
        <f>IF('Données projet'!$A$166&gt;35,DO44+DN45-DW44,IF(A45&lt;'Données projet'!$A$166,$DL$205^A45,IF(A45='Données projet'!$A$166,'Données projet'!$B$166,DO44+DN45-DW44)))</f>
        <v>186.00000000000006</v>
      </c>
      <c r="DP45" s="17">
        <f>DO45*VLOOKUP('Données projet'!$B$14,Paramètres!$A$1:$I$89,3,0)*VLOOKUP('Données projet'!$B$14,Paramètres!$A$1:$I$89,5,0)</f>
        <v>136.37520000000004</v>
      </c>
      <c r="DQ45" s="13">
        <f t="shared" si="43"/>
        <v>35.465351191684015</v>
      </c>
      <c r="DR45" s="20">
        <f t="shared" si="16"/>
        <v>299.28895999218304</v>
      </c>
      <c r="DS45" s="57">
        <f t="shared" si="17"/>
        <v>592.62229332551635</v>
      </c>
      <c r="DT45" s="57">
        <f ca="1">AVERAGE(OFFSET($DS$3,0,0,'Données projet'!$E$14+1,1))-AVERAGE(OFFSET($H$3,0,0,'Données projet'!$E$14+1,1))</f>
        <v>239.25212250019609</v>
      </c>
      <c r="DU45" s="57">
        <f t="shared" si="44"/>
        <v>213.58492101729695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11.4</v>
      </c>
      <c r="EJ45" s="12">
        <f>IF('Données projet'!$A$192&gt;35,EJ44+EI45-ER44,IF(A45&lt;'Données projet'!$A$192,$EG$205^A45,IF(A45='Données projet'!$A$192,'Données projet'!$B$192,EJ44+EI45-ER44)))</f>
        <v>155.80000000000001</v>
      </c>
      <c r="EK45" s="17">
        <f>EJ45*VLOOKUP('Données projet'!$B$15,Paramètres!$A$1:$I$89,3,0)*VLOOKUP('Données projet'!$B$15,Paramètres!$A$1:$I$89,5,0)</f>
        <v>133.67640000000003</v>
      </c>
      <c r="EL45" s="13">
        <f t="shared" si="45"/>
        <v>34.844483726822681</v>
      </c>
      <c r="EM45" s="20">
        <f t="shared" si="19"/>
        <v>293.50720582421621</v>
      </c>
      <c r="EN45" s="57">
        <f t="shared" si="20"/>
        <v>586.84053915754953</v>
      </c>
      <c r="EO45" s="57">
        <f ca="1">AVERAGE(OFFSET($EN$3,0,0,'Données projet'!$E$15+1,1))-AVERAGE(OFFSET($H$3,0,0,'Données projet'!$E$15+1,1))</f>
        <v>447.10969593632467</v>
      </c>
      <c r="EP45" s="57">
        <f t="shared" si="46"/>
        <v>256.77417912163997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25.782588192929502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25.782588192929502</v>
      </c>
      <c r="EZ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7" t="e">
        <f t="shared" si="23"/>
        <v>#N/A</v>
      </c>
      <c r="FJ45" s="57" t="e">
        <f ca="1">AVERAGE(OFFSET($FI$3,0,0,'Données projet'!$E$16+1,1))-AVERAGE(OFFSET($H$3,0,0,'Données projet'!$E$16+1,1))</f>
        <v>#N/A</v>
      </c>
      <c r="FK45" s="57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7" t="e">
        <f t="shared" si="26"/>
        <v>#N/A</v>
      </c>
      <c r="GE45" s="57" t="e">
        <f ca="1">AVERAGE(OFFSET($GD$3,0,0,'Données projet'!$E$17+1,1))-AVERAGE(OFFSET($H$3,0,0,'Données projet'!$E$17+1,1))</f>
        <v>#N/A</v>
      </c>
      <c r="GF45" s="57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7" t="e">
        <f t="shared" si="29"/>
        <v>#N/A</v>
      </c>
      <c r="GZ45" s="57" t="e">
        <f ca="1">AVERAGE(OFFSET($GY$3,0,0,'Données projet'!$E$18+1,1))-AVERAGE(OFFSET($H$3,0,0,'Données projet'!$E$18+1,1))</f>
        <v>#N/A</v>
      </c>
      <c r="HA45" s="57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0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4">
        <f t="shared" si="1"/>
        <v>256.66666666666669</v>
      </c>
      <c r="I46" s="6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7">
        <f t="shared" si="0"/>
        <v>967.73032505918468</v>
      </c>
      <c r="S46" s="57">
        <f ca="1">AVERAGE(OFFSET($R$3,0,0,'Données projet'!$E$9+1,1))-AVERAGE(OFFSET($H$3,0,0,'Données projet'!$E$9+1,1))</f>
        <v>443.34220761968419</v>
      </c>
      <c r="T46" s="57">
        <f t="shared" si="34"/>
        <v>546.58234447298014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51.68996107701166</v>
      </c>
      <c r="AA46" s="21">
        <f>EXP(-LN(2)/25)*AA45+(1-EXP(-LN(2)/25))/(LN(2)/25)*Calculateur!V46*Calculateur!X46*VLOOKUP('Données projet'!$B$9,Paramètres!$A$1:$I$89,3,0)*0.475*44/12</f>
        <v>15.298457972228389</v>
      </c>
      <c r="AB46" s="21">
        <f>EXP(-LN(2)/2)*AB45+(1-EXP(-LN(2)/2))/(LN(2)/2)*V46*Y46*VLOOKUP('Données projet'!$B$9,Paramètres!$A$1:$I$89,3,0)*0.475*44/12</f>
        <v>6.6753054947527174E-2</v>
      </c>
      <c r="AC46" s="22">
        <f t="shared" si="3"/>
        <v>67.055172104187577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29.8</v>
      </c>
      <c r="AI46" s="13">
        <f>IF('Données projet'!$A$62&gt;35,AI45+AH46-AQ45,IF(A46&lt;'Données projet'!$A$62,$AF$205^A46,IF(A46='Données projet'!$A$62,'Données projet'!$B$62,AI45+AH46-AQ45)))</f>
        <v>582.39999999999986</v>
      </c>
      <c r="AJ46" s="13">
        <f>AI46*VLOOKUP('Données projet'!$B$10,Paramètres!$A$1:$I$89,3,0)*VLOOKUP('Données projet'!$B$10,Paramètres!$A$1:$I$89,5,0)</f>
        <v>272.56319999999994</v>
      </c>
      <c r="AK46" s="13">
        <f t="shared" si="35"/>
        <v>65.392945522034609</v>
      </c>
      <c r="AL46" s="20">
        <f t="shared" si="4"/>
        <v>588.60695345087686</v>
      </c>
      <c r="AM46" s="57">
        <f t="shared" si="5"/>
        <v>881.94028678421023</v>
      </c>
      <c r="AN46" s="57">
        <f ca="1">AVERAGE(OFFSET($AM$3,0,0,'Données projet'!$E$10+1,1))-AVERAGE(OFFSET($H$3,0,0,'Données projet'!$E$10+1,1))</f>
        <v>524.3999528951972</v>
      </c>
      <c r="AO46" s="57">
        <f t="shared" si="36"/>
        <v>459.3547783500515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51.507864063085869</v>
      </c>
      <c r="AV46" s="21">
        <f>EXP(-LN(2)/25)*AV45+(1-EXP(-LN(2)/25))/(LN(2)/25)*Calculateur!AQ46*Calculateur!AS46*VLOOKUP('Données projet'!$B$10,Paramètres!$A$1:$I$89,3,0)*0.475*44/12</f>
        <v>37.268051021878534</v>
      </c>
      <c r="AW46" s="21">
        <f>EXP(-LN(2)/2)*AW45+(1-EXP(-LN(2)/2))/(LN(2)/2)*AQ46*AT46*VLOOKUP('Données projet'!$B$10,Paramètres!$A$1:$I$89,3,0)*0.475*44/12</f>
        <v>1.3172522181855252E-2</v>
      </c>
      <c r="AX46" s="21">
        <f t="shared" si="6"/>
        <v>88.789087607146257</v>
      </c>
      <c r="AY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28.2</v>
      </c>
      <c r="BD46" s="12">
        <f>IF('Données projet'!$A$88&gt;35,BD45+BC46-BL45,IF(A46&lt;'Données projet'!$A$88,$BA$205^A46,IF(A46='Données projet'!$A$88,'Données projet'!$B$88,BD45+BC46-BL45)))</f>
        <v>531.60000000000025</v>
      </c>
      <c r="BE46" s="13">
        <f>BD46*VLOOKUP('Données projet'!$B$11,Paramètres!$A$1:$I$89,3,0)*VLOOKUP('Données projet'!$B$11,Paramètres!$A$1:$I$89,5,0)</f>
        <v>255.69960000000012</v>
      </c>
      <c r="BF46" s="13">
        <f t="shared" si="37"/>
        <v>61.804818566254205</v>
      </c>
      <c r="BG46" s="20">
        <f t="shared" si="7"/>
        <v>552.9868623362263</v>
      </c>
      <c r="BH46" s="57">
        <f t="shared" si="8"/>
        <v>846.32019566955955</v>
      </c>
      <c r="BI46" s="57">
        <f ca="1">AVERAGE(OFFSET($BH$3,0,0,'Données projet'!$E$11+1,1))-AVERAGE(OFFSET($H$3,0,0,'Données projet'!$E$11+1,1))</f>
        <v>495.6473104257044</v>
      </c>
      <c r="BJ46" s="57">
        <f t="shared" si="38"/>
        <v>430.92527296485201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48.527084892768421</v>
      </c>
      <c r="BQ46" s="21">
        <f>EXP(-LN(2)/25)*BQ45+(1-EXP(-LN(2)/25))/(LN(2)/25)*Calculateur!BL46*Calculateur!BN46*VLOOKUP('Données projet'!$B$11,Paramètres!$A$1:$I$89,3,0)*0.475*44/12</f>
        <v>35.111335106260576</v>
      </c>
      <c r="BR46" s="21">
        <f>EXP(-LN(2)/2)*BR45+(1-EXP(-LN(2)/2))/(LN(2)/2)*BL46*BO46*VLOOKUP('Données projet'!$B$11,Paramètres!$A$1:$I$89,3,0)*0.475*44/12</f>
        <v>8.0854486077668632E-3</v>
      </c>
      <c r="BS46" s="22">
        <f t="shared" si="9"/>
        <v>83.64650544763677</v>
      </c>
      <c r="BT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7" t="e">
        <f t="shared" si="11"/>
        <v>#NUM!</v>
      </c>
      <c r="CD46" s="57">
        <f ca="1">AVERAGE(OFFSET($CC$3,0,0,'Données projet'!$E$12+1,1))-AVERAGE(OFFSET($H$3,0,0,'Données projet'!$E$12+1,1))</f>
        <v>187.80389738728508</v>
      </c>
      <c r="CE46" s="57">
        <f t="shared" si="40"/>
        <v>439.28159165815265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95.475182630494402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1.3635219499503385E-2</v>
      </c>
      <c r="CN46" s="22">
        <f t="shared" si="12"/>
        <v>95.488817849993907</v>
      </c>
      <c r="CO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8.4</v>
      </c>
      <c r="CT46" s="12">
        <f>IF('Données projet'!$A$140&gt;35,CT45+CS46-DB45,IF(A46&lt;'Données projet'!$A$140,$CQ$205^A46,IF(A46='Données projet'!$A$140,'Données projet'!$B$140,CT45+CS46-DB45)))</f>
        <v>141.20000000000005</v>
      </c>
      <c r="CU46" s="17">
        <f>CT46*VLOOKUP('Données projet'!$B$13,Paramètres!$A$1:$I$89,3,0)*VLOOKUP('Données projet'!$B$13,Paramètres!$A$1:$I$89,5,0)</f>
        <v>127.75776000000003</v>
      </c>
      <c r="CV46" s="13">
        <f t="shared" si="41"/>
        <v>33.477720030956604</v>
      </c>
      <c r="CW46" s="20">
        <f t="shared" si="13"/>
        <v>280.81846105391611</v>
      </c>
      <c r="CX46" s="57">
        <f t="shared" si="14"/>
        <v>574.15179438724942</v>
      </c>
      <c r="CY46" s="57">
        <f ca="1">AVERAGE(OFFSET($CX$3,0,0,'Données projet'!$E$13+1,1))-AVERAGE(OFFSET($H$3,0,0,'Données projet'!$E$13+1,1))</f>
        <v>364.3481978218424</v>
      </c>
      <c r="CZ46" s="57">
        <f t="shared" si="42"/>
        <v>231.36959598460686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16.219774365320227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16.219774365320227</v>
      </c>
      <c r="DJ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</v>
      </c>
      <c r="DO46" s="12">
        <f>IF('Données projet'!$A$166&gt;35,DO45+DN46-DW45,IF(A46&lt;'Données projet'!$A$166,$DL$205^A46,IF(A46='Données projet'!$A$166,'Données projet'!$B$166,DO45+DN46-DW45)))</f>
        <v>194.00000000000006</v>
      </c>
      <c r="DP46" s="17">
        <f>DO46*VLOOKUP('Données projet'!$B$14,Paramètres!$A$1:$I$89,3,0)*VLOOKUP('Données projet'!$B$14,Paramètres!$A$1:$I$89,5,0)</f>
        <v>142.24080000000004</v>
      </c>
      <c r="DQ46" s="13">
        <f t="shared" si="43"/>
        <v>36.809865943965384</v>
      </c>
      <c r="DR46" s="20">
        <f t="shared" si="16"/>
        <v>311.8465765190731</v>
      </c>
      <c r="DS46" s="57">
        <f t="shared" si="17"/>
        <v>605.17990985240635</v>
      </c>
      <c r="DT46" s="57">
        <f ca="1">AVERAGE(OFFSET($DS$3,0,0,'Données projet'!$E$14+1,1))-AVERAGE(OFFSET($H$3,0,0,'Données projet'!$E$14+1,1))</f>
        <v>239.25212250019609</v>
      </c>
      <c r="DU46" s="57">
        <f t="shared" si="44"/>
        <v>213.58492101729695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11.4</v>
      </c>
      <c r="EJ46" s="12">
        <f>IF('Données projet'!$A$192&gt;35,EJ45+EI46-ER45,IF(A46&lt;'Données projet'!$A$192,$EG$205^A46,IF(A46='Données projet'!$A$192,'Données projet'!$B$192,EJ45+EI46-ER45)))</f>
        <v>167.20000000000002</v>
      </c>
      <c r="EK46" s="17">
        <f>EJ46*VLOOKUP('Données projet'!$B$15,Paramètres!$A$1:$I$89,3,0)*VLOOKUP('Données projet'!$B$15,Paramètres!$A$1:$I$89,5,0)</f>
        <v>143.45760000000004</v>
      </c>
      <c r="EL46" s="13">
        <f t="shared" si="45"/>
        <v>37.087964904995097</v>
      </c>
      <c r="EM46" s="20">
        <f t="shared" si="19"/>
        <v>314.45019220953321</v>
      </c>
      <c r="EN46" s="57">
        <f t="shared" si="20"/>
        <v>607.78352554286653</v>
      </c>
      <c r="EO46" s="57">
        <f ca="1">AVERAGE(OFFSET($EN$3,0,0,'Données projet'!$E$15+1,1))-AVERAGE(OFFSET($H$3,0,0,'Données projet'!$E$15+1,1))</f>
        <v>447.10969593632467</v>
      </c>
      <c r="EP46" s="57">
        <f t="shared" si="46"/>
        <v>256.77417912163997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25.277007364292157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25.277007364292157</v>
      </c>
      <c r="EZ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7" t="e">
        <f t="shared" si="23"/>
        <v>#N/A</v>
      </c>
      <c r="FJ46" s="57" t="e">
        <f ca="1">AVERAGE(OFFSET($FI$3,0,0,'Données projet'!$E$16+1,1))-AVERAGE(OFFSET($H$3,0,0,'Données projet'!$E$16+1,1))</f>
        <v>#N/A</v>
      </c>
      <c r="FK46" s="57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7" t="e">
        <f t="shared" si="26"/>
        <v>#N/A</v>
      </c>
      <c r="GE46" s="57" t="e">
        <f ca="1">AVERAGE(OFFSET($GD$3,0,0,'Données projet'!$E$17+1,1))-AVERAGE(OFFSET($H$3,0,0,'Données projet'!$E$17+1,1))</f>
        <v>#N/A</v>
      </c>
      <c r="GF46" s="57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7" t="e">
        <f t="shared" si="29"/>
        <v>#N/A</v>
      </c>
      <c r="GZ46" s="57" t="e">
        <f ca="1">AVERAGE(OFFSET($GY$3,0,0,'Données projet'!$E$18+1,1))-AVERAGE(OFFSET($H$3,0,0,'Données projet'!$E$18+1,1))</f>
        <v>#N/A</v>
      </c>
      <c r="HA46" s="57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0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4">
        <f t="shared" si="1"/>
        <v>256.66666666666669</v>
      </c>
      <c r="I47" s="6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7">
        <f t="shared" si="0"/>
        <v>994.54756913734627</v>
      </c>
      <c r="S47" s="57">
        <f ca="1">AVERAGE(OFFSET($R$3,0,0,'Données projet'!$E$9+1,1))-AVERAGE(OFFSET($H$3,0,0,'Données projet'!$E$9+1,1))</f>
        <v>443.34220761968419</v>
      </c>
      <c r="T47" s="57">
        <f t="shared" si="34"/>
        <v>546.58234447298014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50.67635246805461</v>
      </c>
      <c r="AA47" s="21">
        <f>EXP(-LN(2)/25)*AA46+(1-EXP(-LN(2)/25))/(LN(2)/25)*Calculateur!V47*Calculateur!X47*VLOOKUP('Données projet'!$B$9,Paramètres!$A$1:$I$89,3,0)*0.475*44/12</f>
        <v>14.880120834466865</v>
      </c>
      <c r="AB47" s="21">
        <f>EXP(-LN(2)/2)*AB46+(1-EXP(-LN(2)/2))/(LN(2)/2)*V47*Y47*VLOOKUP('Données projet'!$B$9,Paramètres!$A$1:$I$89,3,0)*0.475*44/12</f>
        <v>4.7201537818314682E-2</v>
      </c>
      <c r="AC47" s="22">
        <f t="shared" si="3"/>
        <v>65.603674840339792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29.8</v>
      </c>
      <c r="AI47" s="13">
        <f>IF('Données projet'!$A$62&gt;35,AI46+AH47-AQ46,IF(A47&lt;'Données projet'!$A$62,$AF$205^A47,IF(A47='Données projet'!$A$62,'Données projet'!$B$62,AI46+AH47-AQ46)))</f>
        <v>612.19999999999982</v>
      </c>
      <c r="AJ47" s="13">
        <f>AI47*VLOOKUP('Données projet'!$B$10,Paramètres!$A$1:$I$89,3,0)*VLOOKUP('Données projet'!$B$10,Paramètres!$A$1:$I$89,5,0)</f>
        <v>286.50959999999992</v>
      </c>
      <c r="AK47" s="13">
        <f t="shared" si="35"/>
        <v>68.340829030902981</v>
      </c>
      <c r="AL47" s="20">
        <f t="shared" si="4"/>
        <v>618.03116389548916</v>
      </c>
      <c r="AM47" s="57">
        <f t="shared" si="5"/>
        <v>911.36449722882253</v>
      </c>
      <c r="AN47" s="57">
        <f ca="1">AVERAGE(OFFSET($AM$3,0,0,'Données projet'!$E$10+1,1))-AVERAGE(OFFSET($H$3,0,0,'Données projet'!$E$10+1,1))</f>
        <v>524.3999528951972</v>
      </c>
      <c r="AO47" s="57">
        <f t="shared" si="36"/>
        <v>459.3547783500515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50.49782626550369</v>
      </c>
      <c r="AV47" s="21">
        <f>EXP(-LN(2)/25)*AV46+(1-EXP(-LN(2)/25))/(LN(2)/25)*Calculateur!AQ47*Calculateur!AS47*VLOOKUP('Données projet'!$B$10,Paramètres!$A$1:$I$89,3,0)*0.475*44/12</f>
        <v>36.248954206843642</v>
      </c>
      <c r="AW47" s="21">
        <f>EXP(-LN(2)/2)*AW46+(1-EXP(-LN(2)/2))/(LN(2)/2)*AQ47*AT47*VLOOKUP('Données projet'!$B$10,Paramètres!$A$1:$I$89,3,0)*0.475*44/12</f>
        <v>9.3143797601200652E-3</v>
      </c>
      <c r="AX47" s="21">
        <f t="shared" si="6"/>
        <v>86.756094852107452</v>
      </c>
      <c r="AY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28.2</v>
      </c>
      <c r="BD47" s="12">
        <f>IF('Données projet'!$A$88&gt;35,BD46+BC47-BL46,IF(A47&lt;'Données projet'!$A$88,$BA$205^A47,IF(A47='Données projet'!$A$88,'Données projet'!$B$88,BD46+BC47-BL46)))</f>
        <v>559.8000000000003</v>
      </c>
      <c r="BE47" s="13">
        <f>BD47*VLOOKUP('Données projet'!$B$11,Paramètres!$A$1:$I$89,3,0)*VLOOKUP('Données projet'!$B$11,Paramètres!$A$1:$I$89,5,0)</f>
        <v>269.26380000000017</v>
      </c>
      <c r="BF47" s="13">
        <f t="shared" si="37"/>
        <v>64.693004248130009</v>
      </c>
      <c r="BG47" s="20">
        <f t="shared" si="7"/>
        <v>581.6414340654934</v>
      </c>
      <c r="BH47" s="57">
        <f t="shared" si="8"/>
        <v>874.97476739882677</v>
      </c>
      <c r="BI47" s="57">
        <f ca="1">AVERAGE(OFFSET($BH$3,0,0,'Données projet'!$E$11+1,1))-AVERAGE(OFFSET($H$3,0,0,'Données projet'!$E$11+1,1))</f>
        <v>495.6473104257044</v>
      </c>
      <c r="BJ47" s="57">
        <f t="shared" si="38"/>
        <v>430.92527296485201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47.5754983566204</v>
      </c>
      <c r="BQ47" s="21">
        <f>EXP(-LN(2)/25)*BQ46+(1-EXP(-LN(2)/25))/(LN(2)/25)*Calculateur!BL47*Calculateur!BN47*VLOOKUP('Données projet'!$B$11,Paramètres!$A$1:$I$89,3,0)*0.475*44/12</f>
        <v>34.151213801355013</v>
      </c>
      <c r="BR47" s="21">
        <f>EXP(-LN(2)/2)*BR46+(1-EXP(-LN(2)/2))/(LN(2)/2)*BL47*BO47*VLOOKUP('Données projet'!$B$11,Paramètres!$A$1:$I$89,3,0)*0.475*44/12</f>
        <v>5.7172755394872786E-3</v>
      </c>
      <c r="BS47" s="22">
        <f t="shared" si="9"/>
        <v>81.732429433514895</v>
      </c>
      <c r="BT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7" t="e">
        <f t="shared" si="11"/>
        <v>#NUM!</v>
      </c>
      <c r="CD47" s="57">
        <f ca="1">AVERAGE(OFFSET($CC$3,0,0,'Données projet'!$E$12+1,1))-AVERAGE(OFFSET($H$3,0,0,'Données projet'!$E$12+1,1))</f>
        <v>187.80389738728508</v>
      </c>
      <c r="CE47" s="57">
        <f t="shared" si="40"/>
        <v>439.28159165815265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93.602972533221674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9.6415561710658862E-3</v>
      </c>
      <c r="CN47" s="22">
        <f t="shared" si="12"/>
        <v>93.612614089392736</v>
      </c>
      <c r="CO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8.4</v>
      </c>
      <c r="CT47" s="12">
        <f>IF('Données projet'!$A$140&gt;35,CT46+CS47-DB46,IF(A47&lt;'Données projet'!$A$140,$CQ$205^A47,IF(A47='Données projet'!$A$140,'Données projet'!$B$140,CT46+CS47-DB46)))</f>
        <v>149.60000000000005</v>
      </c>
      <c r="CU47" s="17">
        <f>CT47*VLOOKUP('Données projet'!$B$13,Paramètres!$A$1:$I$89,3,0)*VLOOKUP('Données projet'!$B$13,Paramètres!$A$1:$I$89,5,0)</f>
        <v>135.35808000000006</v>
      </c>
      <c r="CV47" s="13">
        <f t="shared" si="41"/>
        <v>35.231528980112834</v>
      </c>
      <c r="CW47" s="20">
        <f t="shared" si="13"/>
        <v>297.11023564036327</v>
      </c>
      <c r="CX47" s="57">
        <f t="shared" si="14"/>
        <v>590.44356897369653</v>
      </c>
      <c r="CY47" s="57">
        <f ca="1">AVERAGE(OFFSET($CX$3,0,0,'Données projet'!$E$13+1,1))-AVERAGE(OFFSET($H$3,0,0,'Données projet'!$E$13+1,1))</f>
        <v>364.3481978218424</v>
      </c>
      <c r="CZ47" s="57">
        <f t="shared" si="42"/>
        <v>231.36959598460686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15.901714483101799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15.901714483101799</v>
      </c>
      <c r="DJ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</v>
      </c>
      <c r="DO47" s="12">
        <f>IF('Données projet'!$A$166&gt;35,DO46+DN47-DW46,IF(A47&lt;'Données projet'!$A$166,$DL$205^A47,IF(A47='Données projet'!$A$166,'Données projet'!$B$166,DO46+DN47-DW46)))</f>
        <v>202.00000000000006</v>
      </c>
      <c r="DP47" s="17">
        <f>DO47*VLOOKUP('Données projet'!$B$14,Paramètres!$A$1:$I$89,3,0)*VLOOKUP('Données projet'!$B$14,Paramètres!$A$1:$I$89,5,0)</f>
        <v>148.10640000000004</v>
      </c>
      <c r="DQ47" s="13">
        <f t="shared" si="43"/>
        <v>38.147940561860452</v>
      </c>
      <c r="DR47" s="20">
        <f t="shared" si="16"/>
        <v>324.39297647857364</v>
      </c>
      <c r="DS47" s="57">
        <f t="shared" si="17"/>
        <v>617.72630981190696</v>
      </c>
      <c r="DT47" s="57">
        <f ca="1">AVERAGE(OFFSET($DS$3,0,0,'Données projet'!$E$14+1,1))-AVERAGE(OFFSET($H$3,0,0,'Données projet'!$E$14+1,1))</f>
        <v>239.25212250019609</v>
      </c>
      <c r="DU47" s="57">
        <f t="shared" si="44"/>
        <v>213.58492101729695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11.4</v>
      </c>
      <c r="EJ47" s="12">
        <f>IF('Données projet'!$A$192&gt;35,EJ46+EI47-ER46,IF(A47&lt;'Données projet'!$A$192,$EG$205^A47,IF(A47='Données projet'!$A$192,'Données projet'!$B$192,EJ46+EI47-ER46)))</f>
        <v>178.60000000000002</v>
      </c>
      <c r="EK47" s="17">
        <f>EJ47*VLOOKUP('Données projet'!$B$15,Paramètres!$A$1:$I$89,3,0)*VLOOKUP('Données projet'!$B$15,Paramètres!$A$1:$I$89,5,0)</f>
        <v>153.23880000000003</v>
      </c>
      <c r="EL47" s="13">
        <f t="shared" si="45"/>
        <v>39.31369695702417</v>
      </c>
      <c r="EM47" s="20">
        <f t="shared" si="19"/>
        <v>335.36226553348382</v>
      </c>
      <c r="EN47" s="57">
        <f t="shared" si="20"/>
        <v>628.69559886681714</v>
      </c>
      <c r="EO47" s="57">
        <f ca="1">AVERAGE(OFFSET($EN$3,0,0,'Données projet'!$E$15+1,1))-AVERAGE(OFFSET($H$3,0,0,'Données projet'!$E$15+1,1))</f>
        <v>447.10969593632467</v>
      </c>
      <c r="EP47" s="57">
        <f t="shared" si="46"/>
        <v>256.77417912163997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24.781340667330532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24.781340667330532</v>
      </c>
      <c r="EZ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7" t="e">
        <f t="shared" si="23"/>
        <v>#N/A</v>
      </c>
      <c r="FJ47" s="57" t="e">
        <f ca="1">AVERAGE(OFFSET($FI$3,0,0,'Données projet'!$E$16+1,1))-AVERAGE(OFFSET($H$3,0,0,'Données projet'!$E$16+1,1))</f>
        <v>#N/A</v>
      </c>
      <c r="FK47" s="57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7" t="e">
        <f t="shared" si="26"/>
        <v>#N/A</v>
      </c>
      <c r="GE47" s="57" t="e">
        <f ca="1">AVERAGE(OFFSET($GD$3,0,0,'Données projet'!$E$17+1,1))-AVERAGE(OFFSET($H$3,0,0,'Données projet'!$E$17+1,1))</f>
        <v>#N/A</v>
      </c>
      <c r="GF47" s="57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7" t="e">
        <f t="shared" si="29"/>
        <v>#N/A</v>
      </c>
      <c r="GZ47" s="57" t="e">
        <f ca="1">AVERAGE(OFFSET($GY$3,0,0,'Données projet'!$E$18+1,1))-AVERAGE(OFFSET($H$3,0,0,'Données projet'!$E$18+1,1))</f>
        <v>#N/A</v>
      </c>
      <c r="HA47" s="57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0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4">
        <f t="shared" si="1"/>
        <v>256.66666666666669</v>
      </c>
      <c r="I48" s="6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7">
        <f t="shared" si="0"/>
        <v>1021.3438344153706</v>
      </c>
      <c r="S48" s="57">
        <f ca="1">AVERAGE(OFFSET($R$3,0,0,'Données projet'!$E$9+1,1))-AVERAGE(OFFSET($H$3,0,0,'Données projet'!$E$9+1,1))</f>
        <v>443.34220761968419</v>
      </c>
      <c r="T48" s="57">
        <f t="shared" si="34"/>
        <v>546.58234447298014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76.600868066121521</v>
      </c>
      <c r="AA48" s="21">
        <f>EXP(-LN(2)/25)*AA47+(1-EXP(-LN(2)/25))/(LN(2)/25)*Calculateur!V48*Calculateur!X48*VLOOKUP('Données projet'!$B$9,Paramètres!$A$1:$I$89,3,0)*0.475*44/12</f>
        <v>14.473223147736823</v>
      </c>
      <c r="AB48" s="21">
        <f>EXP(-LN(2)/2)*AB47+(1-EXP(-LN(2)/2))/(LN(2)/2)*V48*Y48*VLOOKUP('Données projet'!$B$9,Paramètres!$A$1:$I$89,3,0)*0.475*44/12</f>
        <v>3.3376527473763587E-2</v>
      </c>
      <c r="AC48" s="22">
        <f t="shared" si="3"/>
        <v>91.107467741332101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642</v>
      </c>
      <c r="AG48" s="12">
        <f>VLOOKUP(A48,'Données projet'!$A$61:$I$81,9,0)</f>
        <v>29.8</v>
      </c>
      <c r="AH48" s="12">
        <f t="array" ref="AH48">INDEX(AG:AG,MIN(IF(ISNUMBER(AG48:AG244),ROW(AG48:AG244),"")))</f>
        <v>29.8</v>
      </c>
      <c r="AI48" s="13">
        <f>IF('Données projet'!$A$62&gt;35,AI47+AH48-AQ47,IF(A48&lt;'Données projet'!$A$62,$AF$205^A48,IF(A48='Données projet'!$A$62,'Données projet'!$B$62,AI47+AH48-AQ47)))</f>
        <v>641.99999999999977</v>
      </c>
      <c r="AJ48" s="13">
        <f>AI48*VLOOKUP('Données projet'!$B$10,Paramètres!$A$1:$I$89,3,0)*VLOOKUP('Données projet'!$B$10,Paramètres!$A$1:$I$89,5,0)</f>
        <v>300.4559999999999</v>
      </c>
      <c r="AK48" s="13">
        <f t="shared" si="35"/>
        <v>71.272050138894869</v>
      </c>
      <c r="AL48" s="20">
        <f t="shared" si="4"/>
        <v>647.4263539919084</v>
      </c>
      <c r="AM48" s="57">
        <f t="shared" si="5"/>
        <v>940.75968732524166</v>
      </c>
      <c r="AN48" s="57">
        <f ca="1">AVERAGE(OFFSET($AM$3,0,0,'Données projet'!$E$10+1,1))-AVERAGE(OFFSET($H$3,0,0,'Données projet'!$E$10+1,1))</f>
        <v>524.3999528951972</v>
      </c>
      <c r="AO48" s="57">
        <f t="shared" si="36"/>
        <v>459.3547783500515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84</v>
      </c>
      <c r="AR48" s="16">
        <f>IF(ISNA(VLOOKUP(A48,'Données projet'!$A$61:$I$81,5,0)),0%,VLOOKUP(A48,'Données projet'!$A$61:$I$81,5,0)*VLOOKUP('Données projet'!$B$10,Paramètres!$A$1:$I$89,7,0))</f>
        <v>0.55000000000000004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78.190040722801427</v>
      </c>
      <c r="AV48" s="21">
        <f>EXP(-LN(2)/25)*AV47+(1-EXP(-LN(2)/25))/(LN(2)/25)*Calculateur!AQ48*Calculateur!AS48*VLOOKUP('Données projet'!$B$10,Paramètres!$A$1:$I$89,3,0)*0.475*44/12</f>
        <v>35.257724647807848</v>
      </c>
      <c r="AW48" s="21">
        <f>EXP(-LN(2)/2)*AW47+(1-EXP(-LN(2)/2))/(LN(2)/2)*AQ48*AT48*VLOOKUP('Données projet'!$B$10,Paramètres!$A$1:$I$89,3,0)*0.475*44/12</f>
        <v>6.586261090927626E-3</v>
      </c>
      <c r="AX48" s="21">
        <f t="shared" si="6"/>
        <v>113.45435163170021</v>
      </c>
      <c r="AY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588</v>
      </c>
      <c r="BB48" s="12">
        <f>VLOOKUP(A48,'Données projet'!$A$87:$I$107,9,0)</f>
        <v>28.2</v>
      </c>
      <c r="BC48" s="12">
        <f t="array" ref="BC48">INDEX(BB:BB,MIN(IF(ISNUMBER(BB48:BB244),ROW(BB48:BB244),"")))</f>
        <v>28.2</v>
      </c>
      <c r="BD48" s="12">
        <f>IF('Données projet'!$A$88&gt;35,BD47+BC48-BL47,IF(A48&lt;'Données projet'!$A$88,$BA$205^A48,IF(A48='Données projet'!$A$88,'Données projet'!$B$88,BD47+BC48-BL47)))</f>
        <v>588.00000000000034</v>
      </c>
      <c r="BE48" s="13">
        <f>BD48*VLOOKUP('Données projet'!$B$11,Paramètres!$A$1:$I$89,3,0)*VLOOKUP('Données projet'!$B$11,Paramètres!$A$1:$I$89,5,0)</f>
        <v>282.82800000000015</v>
      </c>
      <c r="BF48" s="13">
        <f t="shared" si="37"/>
        <v>67.564296586474399</v>
      </c>
      <c r="BG48" s="20">
        <f t="shared" si="7"/>
        <v>610.26658322144317</v>
      </c>
      <c r="BH48" s="57">
        <f t="shared" si="8"/>
        <v>903.59991655477643</v>
      </c>
      <c r="BI48" s="57">
        <f ca="1">AVERAGE(OFFSET($BH$3,0,0,'Données projet'!$E$11+1,1))-AVERAGE(OFFSET($H$3,0,0,'Données projet'!$E$11+1,1))</f>
        <v>495.6473104257044</v>
      </c>
      <c r="BJ48" s="57">
        <f t="shared" si="38"/>
        <v>430.92527296485201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77</v>
      </c>
      <c r="BM48" s="16">
        <f>IF(ISNA(VLOOKUP(A48,'Données projet'!$A$87:$I$107,5,0)),0%,VLOOKUP(A48,'Données projet'!$A$87:$I$107,5,0)*VLOOKUP('Données projet'!$B$11,Paramètres!$A$1:$I$89,7,0))</f>
        <v>0.55000000000000004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73.665154106898598</v>
      </c>
      <c r="BQ48" s="21">
        <f>EXP(-LN(2)/25)*BQ47+(1-EXP(-LN(2)/25))/(LN(2)/25)*Calculateur!BL48*Calculateur!BN48*VLOOKUP('Données projet'!$B$11,Paramètres!$A$1:$I$89,3,0)*0.475*44/12</f>
        <v>33.217347064022682</v>
      </c>
      <c r="BR48" s="21">
        <f>EXP(-LN(2)/2)*BR47+(1-EXP(-LN(2)/2))/(LN(2)/2)*BL48*BO48*VLOOKUP('Données projet'!$B$11,Paramètres!$A$1:$I$89,3,0)*0.475*44/12</f>
        <v>4.0427243038834316E-3</v>
      </c>
      <c r="BS48" s="22">
        <f t="shared" si="9"/>
        <v>106.88654389522516</v>
      </c>
      <c r="BT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7" t="e">
        <f t="shared" si="11"/>
        <v>#NUM!</v>
      </c>
      <c r="CD48" s="57">
        <f ca="1">AVERAGE(OFFSET($CC$3,0,0,'Données projet'!$E$12+1,1))-AVERAGE(OFFSET($H$3,0,0,'Données projet'!$E$12+1,1))</f>
        <v>187.80389738728508</v>
      </c>
      <c r="CE48" s="57">
        <f t="shared" si="40"/>
        <v>439.28159165815265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91.767475334021057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6.8176097497516927E-3</v>
      </c>
      <c r="CN48" s="22">
        <f t="shared" si="12"/>
        <v>91.774292943770803</v>
      </c>
      <c r="CO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158</v>
      </c>
      <c r="CR48" s="12">
        <f>VLOOKUP(A48,'Données projet'!$A$139:$I$159,9,0)</f>
        <v>8.4</v>
      </c>
      <c r="CS48" s="12">
        <f t="array" ref="CS48">INDEX(CR:CR,MIN(IF(ISNUMBER(CR48:CR244),ROW(CR48:CR244),"")))</f>
        <v>8.4</v>
      </c>
      <c r="CT48" s="12">
        <f>IF('Données projet'!$A$140&gt;35,CT47+CS48-DB47,IF(A48&lt;'Données projet'!$A$140,$CQ$205^A48,IF(A48='Données projet'!$A$140,'Données projet'!$B$140,CT47+CS48-DB47)))</f>
        <v>158.00000000000006</v>
      </c>
      <c r="CU48" s="17">
        <f>CT48*VLOOKUP('Données projet'!$B$13,Paramètres!$A$1:$I$89,3,0)*VLOOKUP('Données projet'!$B$13,Paramètres!$A$1:$I$89,5,0)</f>
        <v>142.95840000000004</v>
      </c>
      <c r="CV48" s="13">
        <f t="shared" si="41"/>
        <v>36.973906370811264</v>
      </c>
      <c r="CW48" s="20">
        <f t="shared" si="13"/>
        <v>313.38210026249641</v>
      </c>
      <c r="CX48" s="57">
        <f t="shared" si="14"/>
        <v>606.71543359582972</v>
      </c>
      <c r="CY48" s="57">
        <f ca="1">AVERAGE(OFFSET($CX$3,0,0,'Données projet'!$E$13+1,1))-AVERAGE(OFFSET($H$3,0,0,'Données projet'!$E$13+1,1))</f>
        <v>364.3481978218424</v>
      </c>
      <c r="CZ48" s="57">
        <f t="shared" si="42"/>
        <v>231.36959598460686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21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24.62196484377106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24.62196484377106</v>
      </c>
      <c r="DJ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210</v>
      </c>
      <c r="DM48" s="12">
        <f>VLOOKUP(A48,'Données projet'!$A$165:$I$185,9,0)</f>
        <v>8</v>
      </c>
      <c r="DN48" s="12">
        <f t="array" ref="DN48">INDEX(DM:DM,MIN(IF(ISNUMBER(DM48:DM244),ROW(DM48:DM244),"")))</f>
        <v>8</v>
      </c>
      <c r="DO48" s="12">
        <f>IF('Données projet'!$A$166&gt;35,DO47+DN48-DW47,IF(A48&lt;'Données projet'!$A$166,$DL$205^A48,IF(A48='Données projet'!$A$166,'Données projet'!$B$166,DO47+DN48-DW47)))</f>
        <v>210.00000000000006</v>
      </c>
      <c r="DP48" s="17">
        <f>DO48*VLOOKUP('Données projet'!$B$14,Paramètres!$A$1:$I$89,3,0)*VLOOKUP('Données projet'!$B$14,Paramètres!$A$1:$I$89,5,0)</f>
        <v>153.97200000000004</v>
      </c>
      <c r="DQ48" s="13">
        <f t="shared" si="43"/>
        <v>39.479859284656413</v>
      </c>
      <c r="DR48" s="20">
        <f t="shared" si="16"/>
        <v>336.92865492077664</v>
      </c>
      <c r="DS48" s="57">
        <f t="shared" si="17"/>
        <v>630.26198825410995</v>
      </c>
      <c r="DT48" s="57">
        <f ca="1">AVERAGE(OFFSET($DS$3,0,0,'Données projet'!$E$14+1,1))-AVERAGE(OFFSET($H$3,0,0,'Données projet'!$E$14+1,1))</f>
        <v>239.25212250019609</v>
      </c>
      <c r="DU48" s="57">
        <f t="shared" si="44"/>
        <v>213.58492101729695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190</v>
      </c>
      <c r="EH48" s="12">
        <f>VLOOKUP(A48,'Données projet'!$A$191:$I$211,9,0)</f>
        <v>11.4</v>
      </c>
      <c r="EI48" s="12">
        <f t="array" ref="EI48">INDEX(EH:EH,MIN(IF(ISNUMBER(EH48:EH244),ROW(EH48:EH244),"")))</f>
        <v>11.4</v>
      </c>
      <c r="EJ48" s="12">
        <f>IF('Données projet'!$A$192&gt;35,EJ47+EI48-ER47,IF(A48&lt;'Données projet'!$A$192,$EG$205^A48,IF(A48='Données projet'!$A$192,'Données projet'!$B$192,EJ47+EI48-ER47)))</f>
        <v>190.00000000000003</v>
      </c>
      <c r="EK48" s="17">
        <f>EJ48*VLOOKUP('Données projet'!$B$15,Paramètres!$A$1:$I$89,3,0)*VLOOKUP('Données projet'!$B$15,Paramètres!$A$1:$I$89,5,0)</f>
        <v>163.02000000000004</v>
      </c>
      <c r="EL48" s="13">
        <f t="shared" si="45"/>
        <v>41.52294175893757</v>
      </c>
      <c r="EM48" s="20">
        <f t="shared" si="19"/>
        <v>356.24562356348298</v>
      </c>
      <c r="EN48" s="57">
        <f t="shared" si="20"/>
        <v>649.57895689681629</v>
      </c>
      <c r="EO48" s="57">
        <f ca="1">AVERAGE(OFFSET($EN$3,0,0,'Données projet'!$E$15+1,1))-AVERAGE(OFFSET($H$3,0,0,'Données projet'!$E$15+1,1))</f>
        <v>447.10969593632467</v>
      </c>
      <c r="EP48" s="57">
        <f t="shared" si="46"/>
        <v>256.77417912163997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28</v>
      </c>
      <c r="ES48" s="16">
        <f>IF(ISNA(VLOOKUP(A48,'Données projet'!$A$191:$I$211,5,0)),0%,VLOOKUP(A48,'Données projet'!$A$191:$I$211,5,0)*VLOOKUP('Données projet'!$B$15,Paramètres!$A$1:$I$89,7,0))</f>
        <v>0.53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38.37103850285628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38.37103850285628</v>
      </c>
      <c r="EZ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7" t="e">
        <f t="shared" si="23"/>
        <v>#N/A</v>
      </c>
      <c r="FJ48" s="57" t="e">
        <f ca="1">AVERAGE(OFFSET($FI$3,0,0,'Données projet'!$E$16+1,1))-AVERAGE(OFFSET($H$3,0,0,'Données projet'!$E$16+1,1))</f>
        <v>#N/A</v>
      </c>
      <c r="FK48" s="57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7" t="e">
        <f t="shared" si="26"/>
        <v>#N/A</v>
      </c>
      <c r="GE48" s="57" t="e">
        <f ca="1">AVERAGE(OFFSET($GD$3,0,0,'Données projet'!$E$17+1,1))-AVERAGE(OFFSET($H$3,0,0,'Données projet'!$E$17+1,1))</f>
        <v>#N/A</v>
      </c>
      <c r="GF48" s="57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7" t="e">
        <f t="shared" si="29"/>
        <v>#N/A</v>
      </c>
      <c r="GZ48" s="57" t="e">
        <f ca="1">AVERAGE(OFFSET($GY$3,0,0,'Données projet'!$E$18+1,1))-AVERAGE(OFFSET($H$3,0,0,'Données projet'!$E$18+1,1))</f>
        <v>#N/A</v>
      </c>
      <c r="HA48" s="57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0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4">
        <f t="shared" si="1"/>
        <v>256.66666666666669</v>
      </c>
      <c r="I49" s="6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7">
        <f t="shared" si="0"/>
        <v>964.67084375081231</v>
      </c>
      <c r="S49" s="57">
        <f ca="1">AVERAGE(OFFSET($R$3,0,0,'Données projet'!$E$9+1,1))-AVERAGE(OFFSET($H$3,0,0,'Données projet'!$E$9+1,1))</f>
        <v>443.34220761968419</v>
      </c>
      <c r="T49" s="57">
        <f t="shared" si="34"/>
        <v>546.58234447298014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75.098771765260992</v>
      </c>
      <c r="AA49" s="21">
        <f>EXP(-LN(2)/25)*AA48+(1-EXP(-LN(2)/25))/(LN(2)/25)*Calculateur!V49*Calculateur!X49*VLOOKUP('Données projet'!$B$9,Paramètres!$A$1:$I$89,3,0)*0.475*44/12</f>
        <v>14.077452099648234</v>
      </c>
      <c r="AB49" s="21">
        <f>EXP(-LN(2)/2)*AB48+(1-EXP(-LN(2)/2))/(LN(2)/2)*V49*Y49*VLOOKUP('Données projet'!$B$9,Paramètres!$A$1:$I$89,3,0)*0.475*44/12</f>
        <v>2.3600768909157341E-2</v>
      </c>
      <c r="AC49" s="22">
        <f t="shared" si="3"/>
        <v>89.19982463381838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29.8</v>
      </c>
      <c r="AI49" s="13">
        <f>IF('Données projet'!$A$62&gt;35,AI48+AH49-AQ48,IF(A49&lt;'Données projet'!$A$62,$AF$205^A49,IF(A49='Données projet'!$A$62,'Données projet'!$B$62,AI48+AH49-AQ48)))</f>
        <v>587.79999999999973</v>
      </c>
      <c r="AJ49" s="13">
        <f>AI49*VLOOKUP('Données projet'!$B$10,Paramètres!$A$1:$I$89,3,0)*VLOOKUP('Données projet'!$B$10,Paramètres!$A$1:$I$89,5,0)</f>
        <v>275.09039999999987</v>
      </c>
      <c r="AK49" s="13">
        <f t="shared" si="35"/>
        <v>65.928403488777576</v>
      </c>
      <c r="AL49" s="20">
        <f t="shared" si="4"/>
        <v>593.94108274295399</v>
      </c>
      <c r="AM49" s="57">
        <f t="shared" si="5"/>
        <v>887.27441607628725</v>
      </c>
      <c r="AN49" s="57">
        <f ca="1">AVERAGE(OFFSET($AM$3,0,0,'Données projet'!$E$10+1,1))-AVERAGE(OFFSET($H$3,0,0,'Données projet'!$E$10+1,1))</f>
        <v>524.3999528951972</v>
      </c>
      <c r="AO49" s="57">
        <f t="shared" si="36"/>
        <v>459.3547783500515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76.656781715443017</v>
      </c>
      <c r="AV49" s="21">
        <f>EXP(-LN(2)/25)*AV48+(1-EXP(-LN(2)/25))/(LN(2)/25)*Calculateur!AQ49*Calculateur!AS49*VLOOKUP('Données projet'!$B$10,Paramètres!$A$1:$I$89,3,0)*0.475*44/12</f>
        <v>34.293600313190389</v>
      </c>
      <c r="AW49" s="21">
        <f>EXP(-LN(2)/2)*AW48+(1-EXP(-LN(2)/2))/(LN(2)/2)*AQ49*AT49*VLOOKUP('Données projet'!$B$10,Paramètres!$A$1:$I$89,3,0)*0.475*44/12</f>
        <v>4.6571898800600326E-3</v>
      </c>
      <c r="AX49" s="21">
        <f t="shared" si="6"/>
        <v>110.95503921851348</v>
      </c>
      <c r="AY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26.6</v>
      </c>
      <c r="BD49" s="12">
        <f>IF('Données projet'!$A$88&gt;35,BD48+BC49-BL48,IF(A49&lt;'Données projet'!$A$88,$BA$205^A49,IF(A49='Données projet'!$A$88,'Données projet'!$B$88,BD48+BC49-BL48)))</f>
        <v>537.60000000000036</v>
      </c>
      <c r="BE49" s="13">
        <f>BD49*VLOOKUP('Données projet'!$B$11,Paramètres!$A$1:$I$89,3,0)*VLOOKUP('Données projet'!$B$11,Paramètres!$A$1:$I$89,5,0)</f>
        <v>258.58560000000017</v>
      </c>
      <c r="BF49" s="13">
        <f t="shared" si="37"/>
        <v>62.420789384491954</v>
      </c>
      <c r="BG49" s="20">
        <f t="shared" si="7"/>
        <v>559.08612817799042</v>
      </c>
      <c r="BH49" s="57">
        <f t="shared" si="8"/>
        <v>852.41946151132379</v>
      </c>
      <c r="BI49" s="57">
        <f ca="1">AVERAGE(OFFSET($BH$3,0,0,'Données projet'!$E$11+1,1))-AVERAGE(OFFSET($H$3,0,0,'Données projet'!$E$11+1,1))</f>
        <v>495.6473104257044</v>
      </c>
      <c r="BJ49" s="57">
        <f t="shared" si="38"/>
        <v>430.92527296485201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72.220625366169727</v>
      </c>
      <c r="BQ49" s="21">
        <f>EXP(-LN(2)/25)*BQ48+(1-EXP(-LN(2)/25))/(LN(2)/25)*Calculateur!BL49*Calculateur!BN49*VLOOKUP('Données projet'!$B$11,Paramètres!$A$1:$I$89,3,0)*0.475*44/12</f>
        <v>32.309016961732617</v>
      </c>
      <c r="BR49" s="21">
        <f>EXP(-LN(2)/2)*BR48+(1-EXP(-LN(2)/2))/(LN(2)/2)*BL49*BO49*VLOOKUP('Données projet'!$B$11,Paramètres!$A$1:$I$89,3,0)*0.475*44/12</f>
        <v>2.8586377697436393E-3</v>
      </c>
      <c r="BS49" s="22">
        <f t="shared" si="9"/>
        <v>104.53250096567209</v>
      </c>
      <c r="BT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7" t="e">
        <f t="shared" si="11"/>
        <v>#NUM!</v>
      </c>
      <c r="CD49" s="57">
        <f ca="1">AVERAGE(OFFSET($CC$3,0,0,'Données projet'!$E$12+1,1))-AVERAGE(OFFSET($H$3,0,0,'Données projet'!$E$12+1,1))</f>
        <v>187.80389738728508</v>
      </c>
      <c r="CE49" s="57">
        <f t="shared" si="40"/>
        <v>439.28159165815265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89.967971115354018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4.8207780855329431E-3</v>
      </c>
      <c r="CN49" s="22">
        <f t="shared" si="12"/>
        <v>89.972791893439549</v>
      </c>
      <c r="CO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8.1999999999999993</v>
      </c>
      <c r="CT49" s="12">
        <f>IF('Données projet'!$A$140&gt;35,CT48+CS49-DB48,IF(A49&lt;'Données projet'!$A$140,$CQ$205^A49,IF(A49='Données projet'!$A$140,'Données projet'!$B$140,CT48+CS49-DB48)))</f>
        <v>145.20000000000005</v>
      </c>
      <c r="CU49" s="17">
        <f>CT49*VLOOKUP('Données projet'!$B$13,Paramètres!$A$1:$I$89,3,0)*VLOOKUP('Données projet'!$B$13,Paramètres!$A$1:$I$89,5,0)</f>
        <v>131.37696000000003</v>
      </c>
      <c r="CV49" s="13">
        <f t="shared" si="41"/>
        <v>34.314338988223334</v>
      </c>
      <c r="CW49" s="20">
        <f t="shared" si="13"/>
        <v>288.57901240448905</v>
      </c>
      <c r="CX49" s="57">
        <f t="shared" si="14"/>
        <v>581.91234573782231</v>
      </c>
      <c r="CY49" s="57">
        <f ca="1">AVERAGE(OFFSET($CX$3,0,0,'Données projet'!$E$13+1,1))-AVERAGE(OFFSET($H$3,0,0,'Données projet'!$E$13+1,1))</f>
        <v>364.3481978218424</v>
      </c>
      <c r="CZ49" s="57">
        <f t="shared" si="42"/>
        <v>231.36959598460686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24.139143131100369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24.139143131100369</v>
      </c>
      <c r="DJ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</v>
      </c>
      <c r="DO49" s="12">
        <f>IF('Données projet'!$A$166&gt;35,DO48+DN49-DW48,IF(A49&lt;'Données projet'!$A$166,$DL$205^A49,IF(A49='Données projet'!$A$166,'Données projet'!$B$166,DO48+DN49-DW48)))</f>
        <v>219.00000000000006</v>
      </c>
      <c r="DP49" s="17">
        <f>DO49*VLOOKUP('Données projet'!$B$14,Paramètres!$A$1:$I$89,3,0)*VLOOKUP('Données projet'!$B$14,Paramètres!$A$1:$I$89,5,0)</f>
        <v>160.57080000000005</v>
      </c>
      <c r="DQ49" s="13">
        <f t="shared" si="43"/>
        <v>40.971234244168215</v>
      </c>
      <c r="DR49" s="20">
        <f t="shared" si="16"/>
        <v>351.01904297525971</v>
      </c>
      <c r="DS49" s="57">
        <f t="shared" si="17"/>
        <v>644.35237630859297</v>
      </c>
      <c r="DT49" s="57">
        <f ca="1">AVERAGE(OFFSET($DS$3,0,0,'Données projet'!$E$14+1,1))-AVERAGE(OFFSET($H$3,0,0,'Données projet'!$E$14+1,1))</f>
        <v>239.25212250019609</v>
      </c>
      <c r="DU49" s="57">
        <f t="shared" si="44"/>
        <v>213.58492101729695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11</v>
      </c>
      <c r="EJ49" s="12">
        <f>IF('Données projet'!$A$192&gt;35,EJ48+EI49-ER48,IF(A49&lt;'Données projet'!$A$192,$EG$205^A49,IF(A49='Données projet'!$A$192,'Données projet'!$B$192,EJ48+EI49-ER48)))</f>
        <v>173.00000000000003</v>
      </c>
      <c r="EK49" s="17">
        <f>EJ49*VLOOKUP('Données projet'!$B$15,Paramètres!$A$1:$I$89,3,0)*VLOOKUP('Données projet'!$B$15,Paramètres!$A$1:$I$89,5,0)</f>
        <v>148.43400000000003</v>
      </c>
      <c r="EL49" s="13">
        <f t="shared" si="45"/>
        <v>38.222489421716382</v>
      </c>
      <c r="EM49" s="20">
        <f t="shared" si="19"/>
        <v>325.0933857428227</v>
      </c>
      <c r="EN49" s="57">
        <f t="shared" si="20"/>
        <v>618.42671907615602</v>
      </c>
      <c r="EO49" s="57">
        <f ca="1">AVERAGE(OFFSET($EN$3,0,0,'Données projet'!$E$15+1,1))-AVERAGE(OFFSET($H$3,0,0,'Données projet'!$E$15+1,1))</f>
        <v>447.10969593632467</v>
      </c>
      <c r="EP49" s="57">
        <f t="shared" si="46"/>
        <v>256.77417912163997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37.618605841837798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37.618605841837798</v>
      </c>
      <c r="EZ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7" t="e">
        <f t="shared" si="23"/>
        <v>#N/A</v>
      </c>
      <c r="FJ49" s="57" t="e">
        <f ca="1">AVERAGE(OFFSET($FI$3,0,0,'Données projet'!$E$16+1,1))-AVERAGE(OFFSET($H$3,0,0,'Données projet'!$E$16+1,1))</f>
        <v>#N/A</v>
      </c>
      <c r="FK49" s="57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7" t="e">
        <f t="shared" si="26"/>
        <v>#N/A</v>
      </c>
      <c r="GE49" s="57" t="e">
        <f ca="1">AVERAGE(OFFSET($GD$3,0,0,'Données projet'!$E$17+1,1))-AVERAGE(OFFSET($H$3,0,0,'Données projet'!$E$17+1,1))</f>
        <v>#N/A</v>
      </c>
      <c r="GF49" s="57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7" t="e">
        <f t="shared" si="29"/>
        <v>#N/A</v>
      </c>
      <c r="GZ49" s="57" t="e">
        <f ca="1">AVERAGE(OFFSET($GY$3,0,0,'Données projet'!$E$18+1,1))-AVERAGE(OFFSET($H$3,0,0,'Données projet'!$E$18+1,1))</f>
        <v>#N/A</v>
      </c>
      <c r="HA49" s="57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0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4">
        <f t="shared" si="1"/>
        <v>256.66666666666669</v>
      </c>
      <c r="I50" s="6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7">
        <f t="shared" si="0"/>
        <v>985.61086429543798</v>
      </c>
      <c r="S50" s="57">
        <f ca="1">AVERAGE(OFFSET($R$3,0,0,'Données projet'!$E$9+1,1))-AVERAGE(OFFSET($H$3,0,0,'Données projet'!$E$9+1,1))</f>
        <v>443.34220761968419</v>
      </c>
      <c r="T50" s="57">
        <f t="shared" si="34"/>
        <v>546.58234447298014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73.626130656672061</v>
      </c>
      <c r="AA50" s="21">
        <f>EXP(-LN(2)/25)*AA49+(1-EXP(-LN(2)/25))/(LN(2)/25)*Calculateur!V50*Calculateur!X50*VLOOKUP('Données projet'!$B$9,Paramètres!$A$1:$I$89,3,0)*0.475*44/12</f>
        <v>13.692503431682322</v>
      </c>
      <c r="AB50" s="21">
        <f>EXP(-LN(2)/2)*AB49+(1-EXP(-LN(2)/2))/(LN(2)/2)*V50*Y50*VLOOKUP('Données projet'!$B$9,Paramètres!$A$1:$I$89,3,0)*0.475*44/12</f>
        <v>1.6688263736881793E-2</v>
      </c>
      <c r="AC50" s="22">
        <f t="shared" si="3"/>
        <v>87.335322352091268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29.8</v>
      </c>
      <c r="AI50" s="13">
        <f>IF('Données projet'!$A$62&gt;35,AI49+AH50-AQ49,IF(A50&lt;'Données projet'!$A$62,$AF$205^A50,IF(A50='Données projet'!$A$62,'Données projet'!$B$62,AI49+AH50-AQ49)))</f>
        <v>617.59999999999968</v>
      </c>
      <c r="AJ50" s="13">
        <f>AI50*VLOOKUP('Données projet'!$B$10,Paramètres!$A$1:$I$89,3,0)*VLOOKUP('Données projet'!$B$10,Paramètres!$A$1:$I$89,5,0)</f>
        <v>289.03679999999986</v>
      </c>
      <c r="AK50" s="13">
        <f t="shared" si="35"/>
        <v>68.873199682809329</v>
      </c>
      <c r="AL50" s="20">
        <f t="shared" si="4"/>
        <v>623.35991611422594</v>
      </c>
      <c r="AM50" s="57">
        <f t="shared" si="5"/>
        <v>916.69324944755931</v>
      </c>
      <c r="AN50" s="57">
        <f ca="1">AVERAGE(OFFSET($AM$3,0,0,'Données projet'!$E$10+1,1))-AVERAGE(OFFSET($H$3,0,0,'Données projet'!$E$10+1,1))</f>
        <v>524.3999528951972</v>
      </c>
      <c r="AO50" s="57">
        <f t="shared" si="36"/>
        <v>459.3547783500515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75.153588982023251</v>
      </c>
      <c r="AV50" s="21">
        <f>EXP(-LN(2)/25)*AV49+(1-EXP(-LN(2)/25))/(LN(2)/25)*Calculateur!AQ50*Calculateur!AS50*VLOOKUP('Données projet'!$B$10,Paramètres!$A$1:$I$89,3,0)*0.475*44/12</f>
        <v>33.355840009204137</v>
      </c>
      <c r="AW50" s="21">
        <f>EXP(-LN(2)/2)*AW49+(1-EXP(-LN(2)/2))/(LN(2)/2)*AQ50*AT50*VLOOKUP('Données projet'!$B$10,Paramètres!$A$1:$I$89,3,0)*0.475*44/12</f>
        <v>3.293130545463813E-3</v>
      </c>
      <c r="AX50" s="21">
        <f t="shared" si="6"/>
        <v>108.51272212177285</v>
      </c>
      <c r="AY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26.6</v>
      </c>
      <c r="BD50" s="12">
        <f>IF('Données projet'!$A$88&gt;35,BD49+BC50-BL49,IF(A50&lt;'Données projet'!$A$88,$BA$205^A50,IF(A50='Données projet'!$A$88,'Données projet'!$B$88,BD49+BC50-BL49)))</f>
        <v>564.20000000000039</v>
      </c>
      <c r="BE50" s="13">
        <f>BD50*VLOOKUP('Données projet'!$B$11,Paramètres!$A$1:$I$89,3,0)*VLOOKUP('Données projet'!$B$11,Paramètres!$A$1:$I$89,5,0)</f>
        <v>271.38020000000017</v>
      </c>
      <c r="BF50" s="13">
        <f t="shared" si="37"/>
        <v>65.142095582513562</v>
      </c>
      <c r="BG50" s="20">
        <f t="shared" si="7"/>
        <v>586.1096648062113</v>
      </c>
      <c r="BH50" s="57">
        <f t="shared" si="8"/>
        <v>879.44299813954467</v>
      </c>
      <c r="BI50" s="57">
        <f ca="1">AVERAGE(OFFSET($BH$3,0,0,'Données projet'!$E$11+1,1))-AVERAGE(OFFSET($H$3,0,0,'Données projet'!$E$11+1,1))</f>
        <v>495.6473104257044</v>
      </c>
      <c r="BJ50" s="57">
        <f t="shared" si="38"/>
        <v>430.92527296485201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70.804422952971009</v>
      </c>
      <c r="BQ50" s="21">
        <f>EXP(-LN(2)/25)*BQ49+(1-EXP(-LN(2)/25))/(LN(2)/25)*Calculateur!BL50*Calculateur!BN50*VLOOKUP('Données projet'!$B$11,Paramètres!$A$1:$I$89,3,0)*0.475*44/12</f>
        <v>31.425525193856679</v>
      </c>
      <c r="BR50" s="21">
        <f>EXP(-LN(2)/2)*BR49+(1-EXP(-LN(2)/2))/(LN(2)/2)*BL50*BO50*VLOOKUP('Données projet'!$B$11,Paramètres!$A$1:$I$89,3,0)*0.475*44/12</f>
        <v>2.0213621519417158E-3</v>
      </c>
      <c r="BS50" s="22">
        <f t="shared" si="9"/>
        <v>102.23196950897963</v>
      </c>
      <c r="BT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7" t="e">
        <f t="shared" si="11"/>
        <v>#NUM!</v>
      </c>
      <c r="CD50" s="57">
        <f ca="1">AVERAGE(OFFSET($CC$3,0,0,'Données projet'!$E$12+1,1))-AVERAGE(OFFSET($H$3,0,0,'Données projet'!$E$12+1,1))</f>
        <v>187.80389738728508</v>
      </c>
      <c r="CE50" s="57">
        <f t="shared" si="40"/>
        <v>439.28159165815265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88.203754076825845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3.4088048748758463E-3</v>
      </c>
      <c r="CN50" s="22">
        <f t="shared" si="12"/>
        <v>88.207162881700725</v>
      </c>
      <c r="CO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8.1999999999999993</v>
      </c>
      <c r="CT50" s="12">
        <f>IF('Données projet'!$A$140&gt;35,CT49+CS50-DB49,IF(A50&lt;'Données projet'!$A$140,$CQ$205^A50,IF(A50='Données projet'!$A$140,'Données projet'!$B$140,CT49+CS50-DB49)))</f>
        <v>153.40000000000003</v>
      </c>
      <c r="CU50" s="17">
        <f>CT50*VLOOKUP('Données projet'!$B$13,Paramètres!$A$1:$I$89,3,0)*VLOOKUP('Données projet'!$B$13,Paramètres!$A$1:$I$89,5,0)</f>
        <v>138.79632000000001</v>
      </c>
      <c r="CV50" s="13">
        <f t="shared" si="41"/>
        <v>36.021120886354588</v>
      </c>
      <c r="CW50" s="20">
        <f t="shared" si="13"/>
        <v>304.47370954373423</v>
      </c>
      <c r="CX50" s="57">
        <f t="shared" si="14"/>
        <v>597.80704287706749</v>
      </c>
      <c r="CY50" s="57">
        <f ca="1">AVERAGE(OFFSET($CX$3,0,0,'Données projet'!$E$13+1,1))-AVERAGE(OFFSET($H$3,0,0,'Données projet'!$E$13+1,1))</f>
        <v>364.3481978218424</v>
      </c>
      <c r="CZ50" s="57">
        <f t="shared" si="42"/>
        <v>231.36959598460686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23.665789257722984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23.665789257722984</v>
      </c>
      <c r="DJ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</v>
      </c>
      <c r="DO50" s="12">
        <f>IF('Données projet'!$A$166&gt;35,DO49+DN50-DW49,IF(A50&lt;'Données projet'!$A$166,$DL$205^A50,IF(A50='Données projet'!$A$166,'Données projet'!$B$166,DO49+DN50-DW49)))</f>
        <v>228.00000000000006</v>
      </c>
      <c r="DP50" s="17">
        <f>DO50*VLOOKUP('Données projet'!$B$14,Paramètres!$A$1:$I$89,3,0)*VLOOKUP('Données projet'!$B$14,Paramètres!$A$1:$I$89,5,0)</f>
        <v>167.16960000000003</v>
      </c>
      <c r="DQ50" s="13">
        <f t="shared" si="43"/>
        <v>42.455490039298851</v>
      </c>
      <c r="DR50" s="20">
        <f t="shared" si="16"/>
        <v>365.09703181844549</v>
      </c>
      <c r="DS50" s="57">
        <f t="shared" si="17"/>
        <v>658.4303651517788</v>
      </c>
      <c r="DT50" s="57">
        <f ca="1">AVERAGE(OFFSET($DS$3,0,0,'Données projet'!$E$14+1,1))-AVERAGE(OFFSET($H$3,0,0,'Données projet'!$E$14+1,1))</f>
        <v>239.25212250019609</v>
      </c>
      <c r="DU50" s="57">
        <f t="shared" si="44"/>
        <v>213.58492101729695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11</v>
      </c>
      <c r="EJ50" s="12">
        <f>IF('Données projet'!$A$192&gt;35,EJ49+EI50-ER49,IF(A50&lt;'Données projet'!$A$192,$EG$205^A50,IF(A50='Données projet'!$A$192,'Données projet'!$B$192,EJ49+EI50-ER49)))</f>
        <v>184.00000000000003</v>
      </c>
      <c r="EK50" s="17">
        <f>EJ50*VLOOKUP('Données projet'!$B$15,Paramètres!$A$1:$I$89,3,0)*VLOOKUP('Données projet'!$B$15,Paramètres!$A$1:$I$89,5,0)</f>
        <v>157.87200000000004</v>
      </c>
      <c r="EL50" s="13">
        <f t="shared" si="45"/>
        <v>40.362165684361159</v>
      </c>
      <c r="EM50" s="20">
        <f t="shared" si="19"/>
        <v>345.25783856692902</v>
      </c>
      <c r="EN50" s="57">
        <f t="shared" si="20"/>
        <v>638.59117190026234</v>
      </c>
      <c r="EO50" s="57">
        <f ca="1">AVERAGE(OFFSET($EN$3,0,0,'Données projet'!$E$15+1,1))-AVERAGE(OFFSET($H$3,0,0,'Données projet'!$E$15+1,1))</f>
        <v>447.10969593632467</v>
      </c>
      <c r="EP50" s="57">
        <f t="shared" si="46"/>
        <v>256.77417912163997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36.880927926363285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36.880927926363285</v>
      </c>
      <c r="EZ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7" t="e">
        <f t="shared" si="23"/>
        <v>#N/A</v>
      </c>
      <c r="FJ50" s="57" t="e">
        <f ca="1">AVERAGE(OFFSET($FI$3,0,0,'Données projet'!$E$16+1,1))-AVERAGE(OFFSET($H$3,0,0,'Données projet'!$E$16+1,1))</f>
        <v>#N/A</v>
      </c>
      <c r="FK50" s="57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7" t="e">
        <f t="shared" si="26"/>
        <v>#N/A</v>
      </c>
      <c r="GE50" s="57" t="e">
        <f ca="1">AVERAGE(OFFSET($GD$3,0,0,'Données projet'!$E$17+1,1))-AVERAGE(OFFSET($H$3,0,0,'Données projet'!$E$17+1,1))</f>
        <v>#N/A</v>
      </c>
      <c r="GF50" s="57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7" t="e">
        <f t="shared" si="29"/>
        <v>#N/A</v>
      </c>
      <c r="GZ50" s="57" t="e">
        <f ca="1">AVERAGE(OFFSET($GY$3,0,0,'Données projet'!$E$18+1,1))-AVERAGE(OFFSET($H$3,0,0,'Données projet'!$E$18+1,1))</f>
        <v>#N/A</v>
      </c>
      <c r="HA50" s="57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0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4">
        <f t="shared" si="1"/>
        <v>256.66666666666669</v>
      </c>
      <c r="I51" s="6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7">
        <f t="shared" si="0"/>
        <v>1006.5379112005535</v>
      </c>
      <c r="S51" s="57">
        <f ca="1">AVERAGE(OFFSET($R$3,0,0,'Données projet'!$E$9+1,1))-AVERAGE(OFFSET($H$3,0,0,'Données projet'!$E$9+1,1))</f>
        <v>443.34220761968419</v>
      </c>
      <c r="T51" s="57">
        <f t="shared" si="34"/>
        <v>546.58234447298014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72.182367142000174</v>
      </c>
      <c r="AA51" s="21">
        <f>EXP(-LN(2)/25)*AA50+(1-EXP(-LN(2)/25))/(LN(2)/25)*Calculateur!V51*Calculateur!X51*VLOOKUP('Données projet'!$B$9,Paramètres!$A$1:$I$89,3,0)*0.475*44/12</f>
        <v>13.318081205285509</v>
      </c>
      <c r="AB51" s="21">
        <f>EXP(-LN(2)/2)*AB50+(1-EXP(-LN(2)/2))/(LN(2)/2)*V51*Y51*VLOOKUP('Données projet'!$B$9,Paramètres!$A$1:$I$89,3,0)*0.475*44/12</f>
        <v>1.180038445457867E-2</v>
      </c>
      <c r="AC51" s="22">
        <f t="shared" si="3"/>
        <v>85.512248731740257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29.8</v>
      </c>
      <c r="AI51" s="13">
        <f>IF('Données projet'!$A$62&gt;35,AI50+AH51-AQ50,IF(A51&lt;'Données projet'!$A$62,$AF$205^A51,IF(A51='Données projet'!$A$62,'Données projet'!$B$62,AI50+AH51-AQ50)))</f>
        <v>647.39999999999964</v>
      </c>
      <c r="AJ51" s="13">
        <f>AI51*VLOOKUP('Données projet'!$B$10,Paramètres!$A$1:$I$89,3,0)*VLOOKUP('Données projet'!$B$10,Paramètres!$A$1:$I$89,5,0)</f>
        <v>302.98319999999984</v>
      </c>
      <c r="AK51" s="13">
        <f t="shared" si="35"/>
        <v>71.801496173397709</v>
      </c>
      <c r="AL51" s="20">
        <f t="shared" si="4"/>
        <v>652.75001250200069</v>
      </c>
      <c r="AM51" s="57">
        <f t="shared" si="5"/>
        <v>946.08334583533406</v>
      </c>
      <c r="AN51" s="57">
        <f ca="1">AVERAGE(OFFSET($AM$3,0,0,'Données projet'!$E$10+1,1))-AVERAGE(OFFSET($H$3,0,0,'Données projet'!$E$10+1,1))</f>
        <v>524.3999528951972</v>
      </c>
      <c r="AO51" s="57">
        <f t="shared" si="36"/>
        <v>459.3547783500515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73.679872941248817</v>
      </c>
      <c r="AV51" s="21">
        <f>EXP(-LN(2)/25)*AV50+(1-EXP(-LN(2)/25))/(LN(2)/25)*Calculateur!AQ51*Calculateur!AS51*VLOOKUP('Données projet'!$B$10,Paramètres!$A$1:$I$89,3,0)*0.475*44/12</f>
        <v>32.44372281004506</v>
      </c>
      <c r="AW51" s="21">
        <f>EXP(-LN(2)/2)*AW50+(1-EXP(-LN(2)/2))/(LN(2)/2)*AQ51*AT51*VLOOKUP('Données projet'!$B$10,Paramètres!$A$1:$I$89,3,0)*0.475*44/12</f>
        <v>2.3285949400300163E-3</v>
      </c>
      <c r="AX51" s="21">
        <f t="shared" si="6"/>
        <v>106.1259243462339</v>
      </c>
      <c r="AY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26.6</v>
      </c>
      <c r="BD51" s="12">
        <f>IF('Données projet'!$A$88&gt;35,BD50+BC51-BL50,IF(A51&lt;'Données projet'!$A$88,$BA$205^A51,IF(A51='Données projet'!$A$88,'Données projet'!$B$88,BD50+BC51-BL50)))</f>
        <v>590.80000000000041</v>
      </c>
      <c r="BE51" s="13">
        <f>BD51*VLOOKUP('Données projet'!$B$11,Paramètres!$A$1:$I$89,3,0)*VLOOKUP('Données projet'!$B$11,Paramètres!$A$1:$I$89,5,0)</f>
        <v>284.17480000000018</v>
      </c>
      <c r="BF51" s="13">
        <f t="shared" si="37"/>
        <v>67.848502759488738</v>
      </c>
      <c r="BG51" s="20">
        <f t="shared" si="7"/>
        <v>613.10725230610979</v>
      </c>
      <c r="BH51" s="57">
        <f t="shared" si="8"/>
        <v>906.44058563944304</v>
      </c>
      <c r="BI51" s="57">
        <f ca="1">AVERAGE(OFFSET($BH$3,0,0,'Données projet'!$E$11+1,1))-AVERAGE(OFFSET($H$3,0,0,'Données projet'!$E$11+1,1))</f>
        <v>495.6473104257044</v>
      </c>
      <c r="BJ51" s="57">
        <f t="shared" si="38"/>
        <v>430.92527296485201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69.41599140529695</v>
      </c>
      <c r="BQ51" s="21">
        <f>EXP(-LN(2)/25)*BQ50+(1-EXP(-LN(2)/25))/(LN(2)/25)*Calculateur!BL51*Calculateur!BN51*VLOOKUP('Données projet'!$B$11,Paramètres!$A$1:$I$89,3,0)*0.475*44/12</f>
        <v>30.566192554834121</v>
      </c>
      <c r="BR51" s="21">
        <f>EXP(-LN(2)/2)*BR50+(1-EXP(-LN(2)/2))/(LN(2)/2)*BL51*BO51*VLOOKUP('Données projet'!$B$11,Paramètres!$A$1:$I$89,3,0)*0.475*44/12</f>
        <v>1.4293188848718196E-3</v>
      </c>
      <c r="BS51" s="22">
        <f t="shared" si="9"/>
        <v>99.983613279015941</v>
      </c>
      <c r="BT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7" t="e">
        <f t="shared" si="11"/>
        <v>#NUM!</v>
      </c>
      <c r="CD51" s="57">
        <f ca="1">AVERAGE(OFFSET($CC$3,0,0,'Données projet'!$E$12+1,1))-AVERAGE(OFFSET($H$3,0,0,'Données projet'!$E$12+1,1))</f>
        <v>187.80389738728508</v>
      </c>
      <c r="CE51" s="57">
        <f t="shared" si="40"/>
        <v>439.28159165815265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86.474132258357074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2.4103890427664715E-3</v>
      </c>
      <c r="CN51" s="22">
        <f t="shared" si="12"/>
        <v>86.476542647399839</v>
      </c>
      <c r="CO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8.1999999999999993</v>
      </c>
      <c r="CT51" s="12">
        <f>IF('Données projet'!$A$140&gt;35,CT50+CS51-DB50,IF(A51&lt;'Données projet'!$A$140,$CQ$205^A51,IF(A51='Données projet'!$A$140,'Données projet'!$B$140,CT50+CS51-DB50)))</f>
        <v>161.60000000000002</v>
      </c>
      <c r="CU51" s="17">
        <f>CT51*VLOOKUP('Données projet'!$B$13,Paramètres!$A$1:$I$89,3,0)*VLOOKUP('Données projet'!$B$13,Paramètres!$A$1:$I$89,5,0)</f>
        <v>146.21568000000002</v>
      </c>
      <c r="CV51" s="13">
        <f t="shared" si="41"/>
        <v>37.717310552893402</v>
      </c>
      <c r="CW51" s="20">
        <f t="shared" si="13"/>
        <v>320.34995854628937</v>
      </c>
      <c r="CX51" s="57">
        <f t="shared" si="14"/>
        <v>613.68329187962263</v>
      </c>
      <c r="CY51" s="57">
        <f ca="1">AVERAGE(OFFSET($CX$3,0,0,'Données projet'!$E$13+1,1))-AVERAGE(OFFSET($H$3,0,0,'Données projet'!$E$13+1,1))</f>
        <v>364.3481978218424</v>
      </c>
      <c r="CZ51" s="57">
        <f t="shared" si="42"/>
        <v>231.36959598460686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23.201717565085175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23.201717565085175</v>
      </c>
      <c r="DJ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</v>
      </c>
      <c r="DO51" s="12">
        <f>IF('Données projet'!$A$166&gt;35,DO50+DN51-DW50,IF(A51&lt;'Données projet'!$A$166,$DL$205^A51,IF(A51='Données projet'!$A$166,'Données projet'!$B$166,DO50+DN51-DW50)))</f>
        <v>237.00000000000006</v>
      </c>
      <c r="DP51" s="17">
        <f>DO51*VLOOKUP('Données projet'!$B$14,Paramètres!$A$1:$I$89,3,0)*VLOOKUP('Données projet'!$B$14,Paramètres!$A$1:$I$89,5,0)</f>
        <v>173.76840000000004</v>
      </c>
      <c r="DQ51" s="13">
        <f t="shared" si="43"/>
        <v>43.932939846426045</v>
      </c>
      <c r="DR51" s="20">
        <f t="shared" si="16"/>
        <v>379.16316689919205</v>
      </c>
      <c r="DS51" s="57">
        <f t="shared" si="17"/>
        <v>672.49650023252536</v>
      </c>
      <c r="DT51" s="57">
        <f ca="1">AVERAGE(OFFSET($DS$3,0,0,'Données projet'!$E$14+1,1))-AVERAGE(OFFSET($H$3,0,0,'Données projet'!$E$14+1,1))</f>
        <v>239.25212250019609</v>
      </c>
      <c r="DU51" s="57">
        <f t="shared" si="44"/>
        <v>213.58492101729695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11</v>
      </c>
      <c r="EJ51" s="12">
        <f>IF('Données projet'!$A$192&gt;35,EJ50+EI51-ER50,IF(A51&lt;'Données projet'!$A$192,$EG$205^A51,IF(A51='Données projet'!$A$192,'Données projet'!$B$192,EJ50+EI51-ER50)))</f>
        <v>195.00000000000003</v>
      </c>
      <c r="EK51" s="17">
        <f>EJ51*VLOOKUP('Données projet'!$B$15,Paramètres!$A$1:$I$89,3,0)*VLOOKUP('Données projet'!$B$15,Paramètres!$A$1:$I$89,5,0)</f>
        <v>167.31000000000006</v>
      </c>
      <c r="EL51" s="13">
        <f t="shared" si="45"/>
        <v>42.486994942347515</v>
      </c>
      <c r="EM51" s="20">
        <f t="shared" si="19"/>
        <v>365.39643285792204</v>
      </c>
      <c r="EN51" s="57">
        <f t="shared" si="20"/>
        <v>658.72976619125529</v>
      </c>
      <c r="EO51" s="57">
        <f ca="1">AVERAGE(OFFSET($EN$3,0,0,'Données projet'!$E$15+1,1))-AVERAGE(OFFSET($H$3,0,0,'Données projet'!$E$15+1,1))</f>
        <v>447.10969593632467</v>
      </c>
      <c r="EP51" s="57">
        <f t="shared" si="46"/>
        <v>256.77417912163997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36.157715424872123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36.157715424872123</v>
      </c>
      <c r="EZ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7" t="e">
        <f t="shared" si="23"/>
        <v>#N/A</v>
      </c>
      <c r="FJ51" s="57" t="e">
        <f ca="1">AVERAGE(OFFSET($FI$3,0,0,'Données projet'!$E$16+1,1))-AVERAGE(OFFSET($H$3,0,0,'Données projet'!$E$16+1,1))</f>
        <v>#N/A</v>
      </c>
      <c r="FK51" s="57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7" t="e">
        <f t="shared" si="26"/>
        <v>#N/A</v>
      </c>
      <c r="GE51" s="57" t="e">
        <f ca="1">AVERAGE(OFFSET($GD$3,0,0,'Données projet'!$E$17+1,1))-AVERAGE(OFFSET($H$3,0,0,'Données projet'!$E$17+1,1))</f>
        <v>#N/A</v>
      </c>
      <c r="GF51" s="57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7" t="e">
        <f t="shared" si="29"/>
        <v>#N/A</v>
      </c>
      <c r="GZ51" s="57" t="e">
        <f ca="1">AVERAGE(OFFSET($GY$3,0,0,'Données projet'!$E$18+1,1))-AVERAGE(OFFSET($H$3,0,0,'Données projet'!$E$18+1,1))</f>
        <v>#N/A</v>
      </c>
      <c r="HA51" s="57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0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4">
        <f t="shared" si="1"/>
        <v>256.66666666666669</v>
      </c>
      <c r="I52" s="6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7">
        <f t="shared" si="0"/>
        <v>1027.452418304805</v>
      </c>
      <c r="S52" s="57">
        <f ca="1">AVERAGE(OFFSET($R$3,0,0,'Données projet'!$E$9+1,1))-AVERAGE(OFFSET($H$3,0,0,'Données projet'!$E$9+1,1))</f>
        <v>443.34220761968419</v>
      </c>
      <c r="T52" s="57">
        <f t="shared" si="34"/>
        <v>546.58234447298014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70.766914949242206</v>
      </c>
      <c r="AA52" s="21">
        <f>EXP(-LN(2)/25)*AA51+(1-EXP(-LN(2)/25))/(LN(2)/25)*Calculateur!V52*Calculateur!X52*VLOOKUP('Données projet'!$B$9,Paramètres!$A$1:$I$89,3,0)*0.475*44/12</f>
        <v>12.953897574359525</v>
      </c>
      <c r="AB52" s="21">
        <f>EXP(-LN(2)/2)*AB51+(1-EXP(-LN(2)/2))/(LN(2)/2)*V52*Y52*VLOOKUP('Données projet'!$B$9,Paramètres!$A$1:$I$89,3,0)*0.475*44/12</f>
        <v>8.3441318684408967E-3</v>
      </c>
      <c r="AC52" s="22">
        <f t="shared" si="3"/>
        <v>83.729156655470177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29.8</v>
      </c>
      <c r="AI52" s="13">
        <f>IF('Données projet'!$A$62&gt;35,AI51+AH52-AQ51,IF(A52&lt;'Données projet'!$A$62,$AF$205^A52,IF(A52='Données projet'!$A$62,'Données projet'!$B$62,AI51+AH52-AQ51)))</f>
        <v>677.19999999999959</v>
      </c>
      <c r="AJ52" s="13">
        <f>AI52*VLOOKUP('Données projet'!$B$10,Paramètres!$A$1:$I$89,3,0)*VLOOKUP('Données projet'!$B$10,Paramètres!$A$1:$I$89,5,0)</f>
        <v>316.92959999999977</v>
      </c>
      <c r="AK52" s="13">
        <f t="shared" si="35"/>
        <v>74.714139193995067</v>
      </c>
      <c r="AL52" s="20">
        <f t="shared" si="4"/>
        <v>682.11284576287437</v>
      </c>
      <c r="AM52" s="57">
        <f t="shared" si="5"/>
        <v>975.44617909620774</v>
      </c>
      <c r="AN52" s="57">
        <f ca="1">AVERAGE(OFFSET($AM$3,0,0,'Données projet'!$E$10+1,1))-AVERAGE(OFFSET($H$3,0,0,'Données projet'!$E$10+1,1))</f>
        <v>524.3999528951972</v>
      </c>
      <c r="AO52" s="57">
        <f t="shared" si="36"/>
        <v>459.3547783500515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72.235055573155933</v>
      </c>
      <c r="AV52" s="21">
        <f>EXP(-LN(2)/25)*AV51+(1-EXP(-LN(2)/25))/(LN(2)/25)*Calculateur!AQ52*Calculateur!AS52*VLOOKUP('Données projet'!$B$10,Paramètres!$A$1:$I$89,3,0)*0.475*44/12</f>
        <v>31.556547503663147</v>
      </c>
      <c r="AW52" s="21">
        <f>EXP(-LN(2)/2)*AW51+(1-EXP(-LN(2)/2))/(LN(2)/2)*AQ52*AT52*VLOOKUP('Données projet'!$B$10,Paramètres!$A$1:$I$89,3,0)*0.475*44/12</f>
        <v>1.6465652727319065E-3</v>
      </c>
      <c r="AX52" s="21">
        <f t="shared" si="6"/>
        <v>103.79324964209182</v>
      </c>
      <c r="AY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26.6</v>
      </c>
      <c r="BD52" s="12">
        <f>IF('Données projet'!$A$88&gt;35,BD51+BC52-BL51,IF(A52&lt;'Données projet'!$A$88,$BA$205^A52,IF(A52='Données projet'!$A$88,'Données projet'!$B$88,BD51+BC52-BL51)))</f>
        <v>617.40000000000043</v>
      </c>
      <c r="BE52" s="13">
        <f>BD52*VLOOKUP('Données projet'!$B$11,Paramètres!$A$1:$I$89,3,0)*VLOOKUP('Données projet'!$B$11,Paramètres!$A$1:$I$89,5,0)</f>
        <v>296.96940000000023</v>
      </c>
      <c r="BF52" s="13">
        <f t="shared" si="37"/>
        <v>70.540758363552172</v>
      </c>
      <c r="BG52" s="20">
        <f t="shared" si="7"/>
        <v>640.08019248318715</v>
      </c>
      <c r="BH52" s="57">
        <f t="shared" si="8"/>
        <v>933.4135258165204</v>
      </c>
      <c r="BI52" s="57">
        <f ca="1">AVERAGE(OFFSET($BH$3,0,0,'Données projet'!$E$11+1,1))-AVERAGE(OFFSET($H$3,0,0,'Données projet'!$E$11+1,1))</f>
        <v>495.6473104257044</v>
      </c>
      <c r="BJ52" s="57">
        <f t="shared" si="38"/>
        <v>430.92527296485201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68.054786153413147</v>
      </c>
      <c r="BQ52" s="21">
        <f>EXP(-LN(2)/25)*BQ51+(1-EXP(-LN(2)/25))/(LN(2)/25)*Calculateur!BL52*Calculateur!BN52*VLOOKUP('Données projet'!$B$11,Paramètres!$A$1:$I$89,3,0)*0.475*44/12</f>
        <v>29.730358412015974</v>
      </c>
      <c r="BR52" s="21">
        <f>EXP(-LN(2)/2)*BR51+(1-EXP(-LN(2)/2))/(LN(2)/2)*BL52*BO52*VLOOKUP('Données projet'!$B$11,Paramètres!$A$1:$I$89,3,0)*0.475*44/12</f>
        <v>1.0106810759708579E-3</v>
      </c>
      <c r="BS52" s="22">
        <f t="shared" si="9"/>
        <v>97.786155246505089</v>
      </c>
      <c r="BT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7" t="e">
        <f t="shared" si="11"/>
        <v>#NUM!</v>
      </c>
      <c r="CD52" s="57">
        <f ca="1">AVERAGE(OFFSET($CC$3,0,0,'Données projet'!$E$12+1,1))-AVERAGE(OFFSET($H$3,0,0,'Données projet'!$E$12+1,1))</f>
        <v>187.80389738728508</v>
      </c>
      <c r="CE52" s="57">
        <f t="shared" si="40"/>
        <v>439.28159165815265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84.778427268783332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1.7044024374379232E-3</v>
      </c>
      <c r="CN52" s="22">
        <f t="shared" si="12"/>
        <v>84.780131671220772</v>
      </c>
      <c r="CO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8.1999999999999993</v>
      </c>
      <c r="CT52" s="12">
        <f>IF('Données projet'!$A$140&gt;35,CT51+CS52-DB51,IF(A52&lt;'Données projet'!$A$140,$CQ$205^A52,IF(A52='Données projet'!$A$140,'Données projet'!$B$140,CT51+CS52-DB51)))</f>
        <v>169.8</v>
      </c>
      <c r="CU52" s="17">
        <f>CT52*VLOOKUP('Données projet'!$B$13,Paramètres!$A$1:$I$89,3,0)*VLOOKUP('Données projet'!$B$13,Paramètres!$A$1:$I$89,5,0)</f>
        <v>153.63504</v>
      </c>
      <c r="CV52" s="13">
        <f t="shared" si="41"/>
        <v>39.403506785222667</v>
      </c>
      <c r="CW52" s="20">
        <f t="shared" si="13"/>
        <v>336.20880231759617</v>
      </c>
      <c r="CX52" s="57">
        <f t="shared" si="14"/>
        <v>629.54213565092948</v>
      </c>
      <c r="CY52" s="57">
        <f ca="1">AVERAGE(OFFSET($CX$3,0,0,'Données projet'!$E$13+1,1))-AVERAGE(OFFSET($H$3,0,0,'Données projet'!$E$13+1,1))</f>
        <v>364.3481978218424</v>
      </c>
      <c r="CZ52" s="57">
        <f t="shared" si="42"/>
        <v>231.36959598460686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22.746746035284211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22.746746035284211</v>
      </c>
      <c r="DJ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</v>
      </c>
      <c r="DO52" s="12">
        <f>IF('Données projet'!$A$166&gt;35,DO51+DN52-DW51,IF(A52&lt;'Données projet'!$A$166,$DL$205^A52,IF(A52='Données projet'!$A$166,'Données projet'!$B$166,DO51+DN52-DW51)))</f>
        <v>246.00000000000006</v>
      </c>
      <c r="DP52" s="17">
        <f>DO52*VLOOKUP('Données projet'!$B$14,Paramètres!$A$1:$I$89,3,0)*VLOOKUP('Données projet'!$B$14,Paramètres!$A$1:$I$89,5,0)</f>
        <v>180.36720000000003</v>
      </c>
      <c r="DQ52" s="13">
        <f t="shared" si="43"/>
        <v>45.403871709149094</v>
      </c>
      <c r="DR52" s="20">
        <f t="shared" si="16"/>
        <v>393.21794989343471</v>
      </c>
      <c r="DS52" s="57">
        <f t="shared" si="17"/>
        <v>686.55128322676796</v>
      </c>
      <c r="DT52" s="57">
        <f ca="1">AVERAGE(OFFSET($DS$3,0,0,'Données projet'!$E$14+1,1))-AVERAGE(OFFSET($H$3,0,0,'Données projet'!$E$14+1,1))</f>
        <v>239.25212250019609</v>
      </c>
      <c r="DU52" s="57">
        <f t="shared" si="44"/>
        <v>213.58492101729695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</v>
      </c>
      <c r="EJ52" s="12">
        <f>IF('Données projet'!$A$192&gt;35,EJ51+EI52-ER51,IF(A52&lt;'Données projet'!$A$192,$EG$205^A52,IF(A52='Données projet'!$A$192,'Données projet'!$B$192,EJ51+EI52-ER51)))</f>
        <v>206.00000000000003</v>
      </c>
      <c r="EK52" s="17">
        <f>EJ52*VLOOKUP('Données projet'!$B$15,Paramètres!$A$1:$I$89,3,0)*VLOOKUP('Données projet'!$B$15,Paramètres!$A$1:$I$89,5,0)</f>
        <v>176.74800000000005</v>
      </c>
      <c r="EL52" s="13">
        <f t="shared" si="45"/>
        <v>44.597910160550732</v>
      </c>
      <c r="EM52" s="20">
        <f t="shared" si="19"/>
        <v>385.51079352962591</v>
      </c>
      <c r="EN52" s="57">
        <f t="shared" si="20"/>
        <v>678.84412686295923</v>
      </c>
      <c r="EO52" s="57">
        <f ca="1">AVERAGE(OFFSET($EN$3,0,0,'Données projet'!$E$15+1,1))-AVERAGE(OFFSET($H$3,0,0,'Données projet'!$E$15+1,1))</f>
        <v>447.10969593632467</v>
      </c>
      <c r="EP52" s="57">
        <f t="shared" si="46"/>
        <v>256.77417912163997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35.448684679419138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35.448684679419138</v>
      </c>
      <c r="EZ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7" t="e">
        <f t="shared" si="23"/>
        <v>#N/A</v>
      </c>
      <c r="FJ52" s="57" t="e">
        <f ca="1">AVERAGE(OFFSET($FI$3,0,0,'Données projet'!$E$16+1,1))-AVERAGE(OFFSET($H$3,0,0,'Données projet'!$E$16+1,1))</f>
        <v>#N/A</v>
      </c>
      <c r="FK52" s="57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7" t="e">
        <f t="shared" si="26"/>
        <v>#N/A</v>
      </c>
      <c r="GE52" s="57" t="e">
        <f ca="1">AVERAGE(OFFSET($GD$3,0,0,'Données projet'!$E$17+1,1))-AVERAGE(OFFSET($H$3,0,0,'Données projet'!$E$17+1,1))</f>
        <v>#N/A</v>
      </c>
      <c r="GF52" s="57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7" t="e">
        <f t="shared" si="29"/>
        <v>#N/A</v>
      </c>
      <c r="GZ52" s="57" t="e">
        <f ca="1">AVERAGE(OFFSET($GY$3,0,0,'Données projet'!$E$18+1,1))-AVERAGE(OFFSET($H$3,0,0,'Données projet'!$E$18+1,1))</f>
        <v>#N/A</v>
      </c>
      <c r="HA52" s="57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0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4">
        <f t="shared" si="1"/>
        <v>256.66666666666669</v>
      </c>
      <c r="I53" s="6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7">
        <f t="shared" si="0"/>
        <v>1048.354792740605</v>
      </c>
      <c r="S53" s="57">
        <f ca="1">AVERAGE(OFFSET($R$3,0,0,'Données projet'!$E$9+1,1))-AVERAGE(OFFSET($H$3,0,0,'Données projet'!$E$9+1,1))</f>
        <v>443.34220761968419</v>
      </c>
      <c r="T53" s="57">
        <f t="shared" si="34"/>
        <v>546.58234447298014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88.956126518238207</v>
      </c>
      <c r="AA53" s="21">
        <f>EXP(-LN(2)/25)*AA52+(1-EXP(-LN(2)/25))/(LN(2)/25)*Calculateur!V53*Calculateur!X53*VLOOKUP('Données projet'!$B$9,Paramètres!$A$1:$I$89,3,0)*0.475*44/12</f>
        <v>12.599672563972797</v>
      </c>
      <c r="AB53" s="21">
        <f>EXP(-LN(2)/2)*AB52+(1-EXP(-LN(2)/2))/(LN(2)/2)*V53*Y53*VLOOKUP('Données projet'!$B$9,Paramètres!$A$1:$I$89,3,0)*0.475*44/12</f>
        <v>5.9001922272893352E-3</v>
      </c>
      <c r="AC53" s="22">
        <f t="shared" si="3"/>
        <v>101.5616992744383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707</v>
      </c>
      <c r="AG53" s="12">
        <f>VLOOKUP(A53,'Données projet'!$A$61:$I$81,9,0)</f>
        <v>29.8</v>
      </c>
      <c r="AH53" s="12">
        <f t="array" ref="AH53">INDEX(AG:AG,MIN(IF(ISNUMBER(AG53:AG249),ROW(AG53:AG249),"")))</f>
        <v>29.8</v>
      </c>
      <c r="AI53" s="13">
        <f>IF('Données projet'!$A$62&gt;35,AI52+AH53-AQ52,IF(A53&lt;'Données projet'!$A$62,$AF$205^A53,IF(A53='Données projet'!$A$62,'Données projet'!$B$62,AI52+AH53-AQ52)))</f>
        <v>706.99999999999955</v>
      </c>
      <c r="AJ53" s="13">
        <f>AI53*VLOOKUP('Données projet'!$B$10,Paramètres!$A$1:$I$89,3,0)*VLOOKUP('Données projet'!$B$10,Paramètres!$A$1:$I$89,5,0)</f>
        <v>330.87599999999981</v>
      </c>
      <c r="AK53" s="13">
        <f t="shared" si="35"/>
        <v>77.611896290366928</v>
      </c>
      <c r="AL53" s="20">
        <f t="shared" si="4"/>
        <v>711.44975270572206</v>
      </c>
      <c r="AM53" s="57">
        <f t="shared" si="5"/>
        <v>1004.7830860390554</v>
      </c>
      <c r="AN53" s="57">
        <f ca="1">AVERAGE(OFFSET($AM$3,0,0,'Données projet'!$E$10+1,1))-AVERAGE(OFFSET($H$3,0,0,'Données projet'!$E$10+1,1))</f>
        <v>524.3999528951972</v>
      </c>
      <c r="AO53" s="57">
        <f t="shared" si="36"/>
        <v>459.3547783500515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79</v>
      </c>
      <c r="AR53" s="16">
        <f>IF(ISNA(VLOOKUP(A53,'Données projet'!$A$61:$I$81,5,0)),0%,VLOOKUP(A53,'Données projet'!$A$61:$I$81,5,0)*VLOOKUP('Données projet'!$B$10,Paramètres!$A$1:$I$89,7,0))</f>
        <v>0.55000000000000004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97.793727767980656</v>
      </c>
      <c r="AV53" s="21">
        <f>EXP(-LN(2)/25)*AV52+(1-EXP(-LN(2)/25))/(LN(2)/25)*Calculateur!AQ53*Calculateur!AS53*VLOOKUP('Données projet'!$B$10,Paramètres!$A$1:$I$89,3,0)*0.475*44/12</f>
        <v>30.69363205268877</v>
      </c>
      <c r="AW53" s="21">
        <f>EXP(-LN(2)/2)*AW52+(1-EXP(-LN(2)/2))/(LN(2)/2)*AQ53*AT53*VLOOKUP('Données projet'!$B$10,Paramètres!$A$1:$I$89,3,0)*0.475*44/12</f>
        <v>1.1642974700150082E-3</v>
      </c>
      <c r="AX53" s="21">
        <f t="shared" si="6"/>
        <v>128.48852411813945</v>
      </c>
      <c r="AY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644</v>
      </c>
      <c r="BB53" s="12">
        <f>VLOOKUP(A53,'Données projet'!$A$87:$I$107,9,0)</f>
        <v>26.6</v>
      </c>
      <c r="BC53" s="12">
        <f t="array" ref="BC53">INDEX(BB:BB,MIN(IF(ISNUMBER(BB53:BB249),ROW(BB53:BB249),"")))</f>
        <v>26.6</v>
      </c>
      <c r="BD53" s="12">
        <f>IF('Données projet'!$A$88&gt;35,BD52+BC53-BL52,IF(A53&lt;'Données projet'!$A$88,$BA$205^A53,IF(A53='Données projet'!$A$88,'Données projet'!$B$88,BD52+BC53-BL52)))</f>
        <v>644.00000000000045</v>
      </c>
      <c r="BE53" s="13">
        <f>BD53*VLOOKUP('Données projet'!$B$11,Paramètres!$A$1:$I$89,3,0)*VLOOKUP('Données projet'!$B$11,Paramètres!$A$1:$I$89,5,0)</f>
        <v>309.76400000000024</v>
      </c>
      <c r="BF53" s="13">
        <f t="shared" si="37"/>
        <v>73.219541794375104</v>
      </c>
      <c r="BG53" s="20">
        <f t="shared" si="7"/>
        <v>667.02966862520373</v>
      </c>
      <c r="BH53" s="57">
        <f t="shared" si="8"/>
        <v>960.3630019585371</v>
      </c>
      <c r="BI53" s="57">
        <f ca="1">AVERAGE(OFFSET($BH$3,0,0,'Données projet'!$E$11+1,1))-AVERAGE(OFFSET($H$3,0,0,'Données projet'!$E$11+1,1))</f>
        <v>495.6473104257044</v>
      </c>
      <c r="BJ53" s="57">
        <f t="shared" si="38"/>
        <v>430.92527296485201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77</v>
      </c>
      <c r="BM53" s="16">
        <f>IF(ISNA(VLOOKUP(A53,'Données projet'!$A$87:$I$107,5,0)),0%,VLOOKUP(A53,'Données projet'!$A$87:$I$107,5,0)*VLOOKUP('Données projet'!$B$11,Paramètres!$A$1:$I$89,7,0))</f>
        <v>0.55000000000000004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93.742855561128408</v>
      </c>
      <c r="BQ53" s="21">
        <f>EXP(-LN(2)/25)*BQ52+(1-EXP(-LN(2)/25))/(LN(2)/25)*Calculateur!BL53*Calculateur!BN53*VLOOKUP('Données projet'!$B$11,Paramètres!$A$1:$I$89,3,0)*0.475*44/12</f>
        <v>28.917380197787796</v>
      </c>
      <c r="BR53" s="21">
        <f>EXP(-LN(2)/2)*BR52+(1-EXP(-LN(2)/2))/(LN(2)/2)*BL53*BO53*VLOOKUP('Données projet'!$B$11,Paramètres!$A$1:$I$89,3,0)*0.475*44/12</f>
        <v>7.1465944243590982E-4</v>
      </c>
      <c r="BS53" s="22">
        <f t="shared" si="9"/>
        <v>122.66095041835864</v>
      </c>
      <c r="BT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7" t="e">
        <f t="shared" si="11"/>
        <v>#NUM!</v>
      </c>
      <c r="CD53" s="57">
        <f ca="1">AVERAGE(OFFSET($CC$3,0,0,'Données projet'!$E$12+1,1))-AVERAGE(OFFSET($H$3,0,0,'Données projet'!$E$12+1,1))</f>
        <v>187.80389738728508</v>
      </c>
      <c r="CE53" s="57">
        <f t="shared" si="40"/>
        <v>439.28159165815265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83.115974019777212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1.2051945213832358E-3</v>
      </c>
      <c r="CN53" s="22">
        <f t="shared" si="12"/>
        <v>83.117179214298602</v>
      </c>
      <c r="CO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178</v>
      </c>
      <c r="CR53" s="12">
        <f>VLOOKUP(A53,'Données projet'!$A$139:$I$159,9,0)</f>
        <v>8.1999999999999993</v>
      </c>
      <c r="CS53" s="12">
        <f t="array" ref="CS53">INDEX(CR:CR,MIN(IF(ISNUMBER(CR53:CR249),ROW(CR53:CR249),"")))</f>
        <v>8.1999999999999993</v>
      </c>
      <c r="CT53" s="12">
        <f>IF('Données projet'!$A$140&gt;35,CT52+CS53-DB52,IF(A53&lt;'Données projet'!$A$140,$CQ$205^A53,IF(A53='Données projet'!$A$140,'Données projet'!$B$140,CT52+CS53-DB52)))</f>
        <v>178</v>
      </c>
      <c r="CU53" s="17">
        <f>CT53*VLOOKUP('Données projet'!$B$13,Paramètres!$A$1:$I$89,3,0)*VLOOKUP('Données projet'!$B$13,Paramètres!$A$1:$I$89,5,0)</f>
        <v>161.05439999999999</v>
      </c>
      <c r="CV53" s="13">
        <f t="shared" si="41"/>
        <v>41.080247278685491</v>
      </c>
      <c r="CW53" s="20">
        <f t="shared" si="13"/>
        <v>352.05117734371055</v>
      </c>
      <c r="CX53" s="57">
        <f t="shared" si="14"/>
        <v>645.38451067704386</v>
      </c>
      <c r="CY53" s="57">
        <f ca="1">AVERAGE(OFFSET($CX$3,0,0,'Données projet'!$E$13+1,1))-AVERAGE(OFFSET($H$3,0,0,'Données projet'!$E$13+1,1))</f>
        <v>364.3481978218424</v>
      </c>
      <c r="CZ53" s="57">
        <f t="shared" si="42"/>
        <v>231.36959598460686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31.332769502272171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31.332769502272171</v>
      </c>
      <c r="DJ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255</v>
      </c>
      <c r="DM53" s="12">
        <f>VLOOKUP(A53,'Données projet'!$A$165:$I$185,9,0)</f>
        <v>9</v>
      </c>
      <c r="DN53" s="12">
        <f t="array" ref="DN53">INDEX(DM:DM,MIN(IF(ISNUMBER(DM53:DM249),ROW(DM53:DM249),"")))</f>
        <v>9</v>
      </c>
      <c r="DO53" s="12">
        <f>IF('Données projet'!$A$166&gt;35,DO52+DN53-DW52,IF(A53&lt;'Données projet'!$A$166,$DL$205^A53,IF(A53='Données projet'!$A$166,'Données projet'!$B$166,DO52+DN53-DW52)))</f>
        <v>255.00000000000006</v>
      </c>
      <c r="DP53" s="17">
        <f>DO53*VLOOKUP('Données projet'!$B$14,Paramètres!$A$1:$I$89,3,0)*VLOOKUP('Données projet'!$B$14,Paramètres!$A$1:$I$89,5,0)</f>
        <v>186.96600000000004</v>
      </c>
      <c r="DQ53" s="13">
        <f t="shared" si="43"/>
        <v>46.868551400324648</v>
      </c>
      <c r="DR53" s="20">
        <f t="shared" si="16"/>
        <v>407.26184368889881</v>
      </c>
      <c r="DS53" s="57">
        <f t="shared" si="17"/>
        <v>700.59517702223206</v>
      </c>
      <c r="DT53" s="57">
        <f ca="1">AVERAGE(OFFSET($DS$3,0,0,'Données projet'!$E$14+1,1))-AVERAGE(OFFSET($H$3,0,0,'Données projet'!$E$14+1,1))</f>
        <v>239.25212250019609</v>
      </c>
      <c r="DU53" s="57">
        <f t="shared" si="44"/>
        <v>213.58492101729695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217</v>
      </c>
      <c r="EH53" s="12">
        <f>VLOOKUP(A53,'Données projet'!$A$191:$I$211,9,0)</f>
        <v>11</v>
      </c>
      <c r="EI53" s="12">
        <f t="array" ref="EI53">INDEX(EH:EH,MIN(IF(ISNUMBER(EH53:EH249),ROW(EH53:EH249),"")))</f>
        <v>11</v>
      </c>
      <c r="EJ53" s="12">
        <f>IF('Données projet'!$A$192&gt;35,EJ52+EI53-ER52,IF(A53&lt;'Données projet'!$A$192,$EG$205^A53,IF(A53='Données projet'!$A$192,'Données projet'!$B$192,EJ52+EI53-ER52)))</f>
        <v>217.00000000000003</v>
      </c>
      <c r="EK53" s="17">
        <f>EJ53*VLOOKUP('Données projet'!$B$15,Paramètres!$A$1:$I$89,3,0)*VLOOKUP('Données projet'!$B$15,Paramètres!$A$1:$I$89,5,0)</f>
        <v>186.18600000000004</v>
      </c>
      <c r="EL53" s="13">
        <f t="shared" si="45"/>
        <v>46.69573903947046</v>
      </c>
      <c r="EM53" s="20">
        <f t="shared" si="19"/>
        <v>405.60236216041108</v>
      </c>
      <c r="EN53" s="57">
        <f t="shared" si="20"/>
        <v>698.93569549374433</v>
      </c>
      <c r="EO53" s="57">
        <f ca="1">AVERAGE(OFFSET($EN$3,0,0,'Données projet'!$E$15+1,1))-AVERAGE(OFFSET($H$3,0,0,'Données projet'!$E$15+1,1))</f>
        <v>447.10969593632467</v>
      </c>
      <c r="EP53" s="57">
        <f t="shared" si="46"/>
        <v>256.77417912163997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28</v>
      </c>
      <c r="ES53" s="16">
        <f>IF(ISNA(VLOOKUP(A53,'Données projet'!$A$191:$I$211,5,0)),0%,VLOOKUP(A53,'Données projet'!$A$191:$I$211,5,0)*VLOOKUP('Données projet'!$B$15,Paramètres!$A$1:$I$89,7,0))</f>
        <v>0.53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48.829202405305217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48.829202405305217</v>
      </c>
      <c r="EZ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7" t="e">
        <f t="shared" si="23"/>
        <v>#N/A</v>
      </c>
      <c r="FJ53" s="57" t="e">
        <f ca="1">AVERAGE(OFFSET($FI$3,0,0,'Données projet'!$E$16+1,1))-AVERAGE(OFFSET($H$3,0,0,'Données projet'!$E$16+1,1))</f>
        <v>#N/A</v>
      </c>
      <c r="FK53" s="57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7" t="e">
        <f t="shared" si="26"/>
        <v>#N/A</v>
      </c>
      <c r="GE53" s="57" t="e">
        <f ca="1">AVERAGE(OFFSET($GD$3,0,0,'Données projet'!$E$17+1,1))-AVERAGE(OFFSET($H$3,0,0,'Données projet'!$E$17+1,1))</f>
        <v>#N/A</v>
      </c>
      <c r="GF53" s="57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7" t="e">
        <f t="shared" si="29"/>
        <v>#N/A</v>
      </c>
      <c r="GZ53" s="57" t="e">
        <f ca="1">AVERAGE(OFFSET($GY$3,0,0,'Données projet'!$E$18+1,1))-AVERAGE(OFFSET($H$3,0,0,'Données projet'!$E$18+1,1))</f>
        <v>#N/A</v>
      </c>
      <c r="HA53" s="57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0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4">
        <f t="shared" si="1"/>
        <v>256.66666666666669</v>
      </c>
      <c r="I54" s="6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7">
        <f t="shared" si="0"/>
        <v>1008.183321320997</v>
      </c>
      <c r="S54" s="57">
        <f ca="1">AVERAGE(OFFSET($R$3,0,0,'Données projet'!$E$9+1,1))-AVERAGE(OFFSET($H$3,0,0,'Données projet'!$E$9+1,1))</f>
        <v>443.34220761968419</v>
      </c>
      <c r="T54" s="57">
        <f t="shared" si="34"/>
        <v>546.58234447298014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87.211751135095213</v>
      </c>
      <c r="AA54" s="21">
        <f>EXP(-LN(2)/25)*AA53+(1-EXP(-LN(2)/25))/(LN(2)/25)*Calculateur!V54*Calculateur!X54*VLOOKUP('Données projet'!$B$9,Paramètres!$A$1:$I$89,3,0)*0.475*44/12</f>
        <v>12.255133855122978</v>
      </c>
      <c r="AB54" s="21">
        <f>EXP(-LN(2)/2)*AB53+(1-EXP(-LN(2)/2))/(LN(2)/2)*V54*Y54*VLOOKUP('Données projet'!$B$9,Paramètres!$A$1:$I$89,3,0)*0.475*44/12</f>
        <v>4.1720659342204484E-3</v>
      </c>
      <c r="AC54" s="22">
        <f t="shared" si="3"/>
        <v>99.471057056152418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24</v>
      </c>
      <c r="AI54" s="13">
        <f>IF('Données projet'!$A$62&gt;35,AI53+AH54-AQ53,IF(A54&lt;'Données projet'!$A$62,$AF$205^A54,IF(A54='Données projet'!$A$62,'Données projet'!$B$62,AI53+AH54-AQ53)))</f>
        <v>651.99999999999955</v>
      </c>
      <c r="AJ54" s="13">
        <f>AI54*VLOOKUP('Données projet'!$B$10,Paramètres!$A$1:$I$89,3,0)*VLOOKUP('Données projet'!$B$10,Paramètres!$A$1:$I$89,5,0)</f>
        <v>305.1359999999998</v>
      </c>
      <c r="AK54" s="13">
        <f t="shared" si="35"/>
        <v>72.252100315634806</v>
      </c>
      <c r="AL54" s="20">
        <f t="shared" si="4"/>
        <v>657.28427471639691</v>
      </c>
      <c r="AM54" s="57">
        <f t="shared" si="5"/>
        <v>950.61760804973028</v>
      </c>
      <c r="AN54" s="57">
        <f ca="1">AVERAGE(OFFSET($AM$3,0,0,'Données projet'!$E$10+1,1))-AVERAGE(OFFSET($H$3,0,0,'Données projet'!$E$10+1,1))</f>
        <v>524.3999528951972</v>
      </c>
      <c r="AO54" s="57">
        <f t="shared" si="36"/>
        <v>459.3547783500515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95.876052414734716</v>
      </c>
      <c r="AV54" s="21">
        <f>EXP(-LN(2)/25)*AV53+(1-EXP(-LN(2)/25))/(LN(2)/25)*Calculateur!AQ54*Calculateur!AS54*VLOOKUP('Données projet'!$B$10,Paramètres!$A$1:$I$89,3,0)*0.475*44/12</f>
        <v>29.854313070100037</v>
      </c>
      <c r="AW54" s="21">
        <f>EXP(-LN(2)/2)*AW53+(1-EXP(-LN(2)/2))/(LN(2)/2)*AQ54*AT54*VLOOKUP('Données projet'!$B$10,Paramètres!$A$1:$I$89,3,0)*0.475*44/12</f>
        <v>8.2328263636595326E-4</v>
      </c>
      <c r="AX54" s="21">
        <f t="shared" si="6"/>
        <v>125.73118876747111</v>
      </c>
      <c r="AY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25.4</v>
      </c>
      <c r="BD54" s="12">
        <f>IF('Données projet'!$A$88&gt;35,BD53+BC54-BL53,IF(A54&lt;'Données projet'!$A$88,$BA$205^A54,IF(A54='Données projet'!$A$88,'Données projet'!$B$88,BD53+BC54-BL53)))</f>
        <v>592.40000000000043</v>
      </c>
      <c r="BE54" s="13">
        <f>BD54*VLOOKUP('Données projet'!$B$11,Paramètres!$A$1:$I$89,3,0)*VLOOKUP('Données projet'!$B$11,Paramètres!$A$1:$I$89,5,0)</f>
        <v>284.9444000000002</v>
      </c>
      <c r="BF54" s="13">
        <f t="shared" si="37"/>
        <v>68.010835859755289</v>
      </c>
      <c r="BG54" s="20">
        <f t="shared" si="7"/>
        <v>614.73036912240741</v>
      </c>
      <c r="BH54" s="57">
        <f t="shared" si="8"/>
        <v>908.06370245574067</v>
      </c>
      <c r="BI54" s="57">
        <f ca="1">AVERAGE(OFFSET($BH$3,0,0,'Données projet'!$E$11+1,1))-AVERAGE(OFFSET($H$3,0,0,'Données projet'!$E$11+1,1))</f>
        <v>495.6473104257044</v>
      </c>
      <c r="BJ54" s="57">
        <f t="shared" si="38"/>
        <v>430.92527296485201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91.904615341070766</v>
      </c>
      <c r="BQ54" s="21">
        <f>EXP(-LN(2)/25)*BQ53+(1-EXP(-LN(2)/25))/(LN(2)/25)*Calculateur!BL54*Calculateur!BN54*VLOOKUP('Données projet'!$B$11,Paramètres!$A$1:$I$89,3,0)*0.475*44/12</f>
        <v>28.126632915580355</v>
      </c>
      <c r="BR54" s="21">
        <f>EXP(-LN(2)/2)*BR53+(1-EXP(-LN(2)/2))/(LN(2)/2)*BL54*BO54*VLOOKUP('Données projet'!$B$11,Paramètres!$A$1:$I$89,3,0)*0.475*44/12</f>
        <v>5.0534053798542895E-4</v>
      </c>
      <c r="BS54" s="22">
        <f t="shared" si="9"/>
        <v>120.03175359718911</v>
      </c>
      <c r="BT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7" t="e">
        <f t="shared" si="11"/>
        <v>#NUM!</v>
      </c>
      <c r="CD54" s="57">
        <f ca="1">AVERAGE(OFFSET($CC$3,0,0,'Données projet'!$E$12+1,1))-AVERAGE(OFFSET($H$3,0,0,'Données projet'!$E$12+1,1))</f>
        <v>187.80389738728508</v>
      </c>
      <c r="CE54" s="57">
        <f t="shared" si="40"/>
        <v>439.28159165815265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81.486120464987749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8.5220121871896158E-4</v>
      </c>
      <c r="CN54" s="22">
        <f t="shared" si="12"/>
        <v>81.486972666206469</v>
      </c>
      <c r="CO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</v>
      </c>
      <c r="CT54" s="12">
        <f>IF('Données projet'!$A$140&gt;35,CT53+CS54-DB53,IF(A54&lt;'Données projet'!$A$140,$CQ$205^A54,IF(A54='Données projet'!$A$140,'Données projet'!$B$140,CT53+CS54-DB53)))</f>
        <v>165</v>
      </c>
      <c r="CU54" s="17">
        <f>CT54*VLOOKUP('Données projet'!$B$13,Paramètres!$A$1:$I$89,3,0)*VLOOKUP('Données projet'!$B$13,Paramètres!$A$1:$I$89,5,0)</f>
        <v>149.29199999999997</v>
      </c>
      <c r="CV54" s="13">
        <f t="shared" si="41"/>
        <v>38.417645803815411</v>
      </c>
      <c r="CW54" s="20">
        <f t="shared" si="13"/>
        <v>326.9276331083118</v>
      </c>
      <c r="CX54" s="57">
        <f t="shared" si="14"/>
        <v>620.26096644164511</v>
      </c>
      <c r="CY54" s="57">
        <f ca="1">AVERAGE(OFFSET($CX$3,0,0,'Données projet'!$E$13+1,1))-AVERAGE(OFFSET($H$3,0,0,'Données projet'!$E$13+1,1))</f>
        <v>364.3481978218424</v>
      </c>
      <c r="CZ54" s="57">
        <f t="shared" si="42"/>
        <v>231.36959598460686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30.718353003434945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30.718353003434945</v>
      </c>
      <c r="DJ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255.00000000000006</v>
      </c>
      <c r="DP54" s="17">
        <f>DO54*VLOOKUP('Données projet'!$B$14,Paramètres!$A$1:$I$89,3,0)*VLOOKUP('Données projet'!$B$14,Paramètres!$A$1:$I$89,5,0)</f>
        <v>186.96600000000004</v>
      </c>
      <c r="DQ54" s="13">
        <f t="shared" si="43"/>
        <v>46.868551400324648</v>
      </c>
      <c r="DR54" s="20">
        <f t="shared" si="16"/>
        <v>407.26184368889881</v>
      </c>
      <c r="DS54" s="57">
        <f t="shared" si="17"/>
        <v>700.59517702223206</v>
      </c>
      <c r="DT54" s="57">
        <f ca="1">AVERAGE(OFFSET($DS$3,0,0,'Données projet'!$E$14+1,1))-AVERAGE(OFFSET($H$3,0,0,'Données projet'!$E$14+1,1))</f>
        <v>239.25212250019609</v>
      </c>
      <c r="DU54" s="57">
        <f t="shared" si="44"/>
        <v>213.58492101729695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11</v>
      </c>
      <c r="EJ54" s="12">
        <f>IF('Données projet'!$A$192&gt;35,EJ53+EI54-ER53,IF(A54&lt;'Données projet'!$A$192,$EG$205^A54,IF(A54='Données projet'!$A$192,'Données projet'!$B$192,EJ53+EI54-ER53)))</f>
        <v>200.00000000000003</v>
      </c>
      <c r="EK54" s="17">
        <f>EJ54*VLOOKUP('Données projet'!$B$15,Paramètres!$A$1:$I$89,3,0)*VLOOKUP('Données projet'!$B$15,Paramètres!$A$1:$I$89,5,0)</f>
        <v>171.60000000000005</v>
      </c>
      <c r="EL54" s="13">
        <f t="shared" si="45"/>
        <v>43.44817475464852</v>
      </c>
      <c r="EM54" s="20">
        <f t="shared" si="19"/>
        <v>374.54223769767958</v>
      </c>
      <c r="EN54" s="57">
        <f t="shared" si="20"/>
        <v>667.8755710310129</v>
      </c>
      <c r="EO54" s="57">
        <f ca="1">AVERAGE(OFFSET($EN$3,0,0,'Données projet'!$E$15+1,1))-AVERAGE(OFFSET($H$3,0,0,'Données projet'!$E$15+1,1))</f>
        <v>447.10969593632467</v>
      </c>
      <c r="EP54" s="57">
        <f t="shared" si="46"/>
        <v>256.77417912163997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47.871691529009837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47.871691529009837</v>
      </c>
      <c r="EZ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7" t="e">
        <f t="shared" si="23"/>
        <v>#N/A</v>
      </c>
      <c r="FJ54" s="57" t="e">
        <f ca="1">AVERAGE(OFFSET($FI$3,0,0,'Données projet'!$E$16+1,1))-AVERAGE(OFFSET($H$3,0,0,'Données projet'!$E$16+1,1))</f>
        <v>#N/A</v>
      </c>
      <c r="FK54" s="57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7" t="e">
        <f t="shared" si="26"/>
        <v>#N/A</v>
      </c>
      <c r="GE54" s="57" t="e">
        <f ca="1">AVERAGE(OFFSET($GD$3,0,0,'Données projet'!$E$17+1,1))-AVERAGE(OFFSET($H$3,0,0,'Données projet'!$E$17+1,1))</f>
        <v>#N/A</v>
      </c>
      <c r="GF54" s="57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7" t="e">
        <f t="shared" si="29"/>
        <v>#N/A</v>
      </c>
      <c r="GZ54" s="57" t="e">
        <f ca="1">AVERAGE(OFFSET($GY$3,0,0,'Données projet'!$E$18+1,1))-AVERAGE(OFFSET($H$3,0,0,'Données projet'!$E$18+1,1))</f>
        <v>#N/A</v>
      </c>
      <c r="HA54" s="57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0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4">
        <f t="shared" si="1"/>
        <v>256.66666666666669</v>
      </c>
      <c r="I55" s="6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7">
        <f t="shared" si="0"/>
        <v>1024.3982563857096</v>
      </c>
      <c r="S55" s="57">
        <f ca="1">AVERAGE(OFFSET($R$3,0,0,'Données projet'!$E$9+1,1))-AVERAGE(OFFSET($H$3,0,0,'Données projet'!$E$9+1,1))</f>
        <v>443.34220761968419</v>
      </c>
      <c r="T55" s="57">
        <f t="shared" si="34"/>
        <v>546.58234447298014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85.501581889251725</v>
      </c>
      <c r="AA55" s="21">
        <f>EXP(-LN(2)/25)*AA54+(1-EXP(-LN(2)/25))/(LN(2)/25)*Calculateur!V55*Calculateur!X55*VLOOKUP('Données projet'!$B$9,Paramètres!$A$1:$I$89,3,0)*0.475*44/12</f>
        <v>11.92001657538516</v>
      </c>
      <c r="AB55" s="21">
        <f>EXP(-LN(2)/2)*AB54+(1-EXP(-LN(2)/2))/(LN(2)/2)*V55*Y55*VLOOKUP('Données projet'!$B$9,Paramètres!$A$1:$I$89,3,0)*0.475*44/12</f>
        <v>2.9500961136446676E-3</v>
      </c>
      <c r="AC55" s="22">
        <f t="shared" si="3"/>
        <v>97.424548560750537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24</v>
      </c>
      <c r="AI55" s="13">
        <f>IF('Données projet'!$A$62&gt;35,AI54+AH55-AQ54,IF(A55&lt;'Données projet'!$A$62,$AF$205^A55,IF(A55='Données projet'!$A$62,'Données projet'!$B$62,AI54+AH55-AQ54)))</f>
        <v>675.99999999999955</v>
      </c>
      <c r="AJ55" s="13">
        <f>AI55*VLOOKUP('Données projet'!$B$10,Paramètres!$A$1:$I$89,3,0)*VLOOKUP('Données projet'!$B$10,Paramètres!$A$1:$I$89,5,0)</f>
        <v>316.36799999999977</v>
      </c>
      <c r="AK55" s="13">
        <f t="shared" si="35"/>
        <v>74.597144109003366</v>
      </c>
      <c r="AL55" s="20">
        <f t="shared" si="4"/>
        <v>680.93095932318045</v>
      </c>
      <c r="AM55" s="57">
        <f t="shared" si="5"/>
        <v>974.26429265651382</v>
      </c>
      <c r="AN55" s="57">
        <f ca="1">AVERAGE(OFFSET($AM$3,0,0,'Données projet'!$E$10+1,1))-AVERAGE(OFFSET($H$3,0,0,'Données projet'!$E$10+1,1))</f>
        <v>524.3999528951972</v>
      </c>
      <c r="AO55" s="57">
        <f t="shared" si="36"/>
        <v>459.3547783500515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93.995981505499458</v>
      </c>
      <c r="AV55" s="21">
        <f>EXP(-LN(2)/25)*AV54+(1-EXP(-LN(2)/25))/(LN(2)/25)*Calculateur!AQ55*Calculateur!AS55*VLOOKUP('Données projet'!$B$10,Paramètres!$A$1:$I$89,3,0)*0.475*44/12</f>
        <v>29.037945309228061</v>
      </c>
      <c r="AW55" s="21">
        <f>EXP(-LN(2)/2)*AW54+(1-EXP(-LN(2)/2))/(LN(2)/2)*AQ55*AT55*VLOOKUP('Données projet'!$B$10,Paramètres!$A$1:$I$89,3,0)*0.475*44/12</f>
        <v>5.8214873500750408E-4</v>
      </c>
      <c r="AX55" s="21">
        <f t="shared" si="6"/>
        <v>123.03450896346253</v>
      </c>
      <c r="AY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25.4</v>
      </c>
      <c r="BD55" s="12">
        <f>IF('Données projet'!$A$88&gt;35,BD54+BC55-BL54,IF(A55&lt;'Données projet'!$A$88,$BA$205^A55,IF(A55='Données projet'!$A$88,'Données projet'!$B$88,BD54+BC55-BL54)))</f>
        <v>617.80000000000041</v>
      </c>
      <c r="BE55" s="13">
        <f>BD55*VLOOKUP('Données projet'!$B$11,Paramètres!$A$1:$I$89,3,0)*VLOOKUP('Données projet'!$B$11,Paramètres!$A$1:$I$89,5,0)</f>
        <v>297.1618000000002</v>
      </c>
      <c r="BF55" s="13">
        <f t="shared" si="37"/>
        <v>70.581138968940266</v>
      </c>
      <c r="BG55" s="20">
        <f t="shared" si="7"/>
        <v>640.48561870423794</v>
      </c>
      <c r="BH55" s="57">
        <f t="shared" si="8"/>
        <v>933.81895203757131</v>
      </c>
      <c r="BI55" s="57">
        <f ca="1">AVERAGE(OFFSET($BH$3,0,0,'Données projet'!$E$11+1,1))-AVERAGE(OFFSET($H$3,0,0,'Données projet'!$E$11+1,1))</f>
        <v>495.6473104257044</v>
      </c>
      <c r="BJ55" s="57">
        <f t="shared" si="38"/>
        <v>430.92527296485201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90.10242189051263</v>
      </c>
      <c r="BQ55" s="21">
        <f>EXP(-LN(2)/25)*BQ54+(1-EXP(-LN(2)/25))/(LN(2)/25)*Calculateur!BL55*Calculateur!BN55*VLOOKUP('Données projet'!$B$11,Paramètres!$A$1:$I$89,3,0)*0.475*44/12</f>
        <v>27.357508659388468</v>
      </c>
      <c r="BR55" s="21">
        <f>EXP(-LN(2)/2)*BR54+(1-EXP(-LN(2)/2))/(LN(2)/2)*BL55*BO55*VLOOKUP('Données projet'!$B$11,Paramètres!$A$1:$I$89,3,0)*0.475*44/12</f>
        <v>3.5732972121795491E-4</v>
      </c>
      <c r="BS55" s="22">
        <f t="shared" si="9"/>
        <v>117.46028787962231</v>
      </c>
      <c r="BT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7" t="e">
        <f t="shared" si="11"/>
        <v>#NUM!</v>
      </c>
      <c r="CD55" s="57">
        <f ca="1">AVERAGE(OFFSET($CC$3,0,0,'Données projet'!$E$12+1,1))-AVERAGE(OFFSET($H$3,0,0,'Données projet'!$E$12+1,1))</f>
        <v>187.80389738728508</v>
      </c>
      <c r="CE55" s="57">
        <f t="shared" si="40"/>
        <v>439.28159165815265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79.888227344295188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6.0259726069161789E-4</v>
      </c>
      <c r="CN55" s="22">
        <f t="shared" si="12"/>
        <v>79.888829941555883</v>
      </c>
      <c r="CO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</v>
      </c>
      <c r="CT55" s="12">
        <f>IF('Données projet'!$A$140&gt;35,CT54+CS55-DB54,IF(A55&lt;'Données projet'!$A$140,$CQ$205^A55,IF(A55='Données projet'!$A$140,'Données projet'!$B$140,CT54+CS55-DB54)))</f>
        <v>173</v>
      </c>
      <c r="CU55" s="17">
        <f>CT55*VLOOKUP('Données projet'!$B$13,Paramètres!$A$1:$I$89,3,0)*VLOOKUP('Données projet'!$B$13,Paramètres!$A$1:$I$89,5,0)</f>
        <v>156.53039999999999</v>
      </c>
      <c r="CV55" s="13">
        <f t="shared" si="41"/>
        <v>40.058941713182037</v>
      </c>
      <c r="CW55" s="20">
        <f t="shared" si="13"/>
        <v>342.393103483792</v>
      </c>
      <c r="CX55" s="57">
        <f t="shared" si="14"/>
        <v>635.72643681712532</v>
      </c>
      <c r="CY55" s="57">
        <f ca="1">AVERAGE(OFFSET($CX$3,0,0,'Données projet'!$E$13+1,1))-AVERAGE(OFFSET($H$3,0,0,'Données projet'!$E$13+1,1))</f>
        <v>364.3481978218424</v>
      </c>
      <c r="CZ55" s="57">
        <f t="shared" si="42"/>
        <v>231.36959598460686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30.115984837382857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30.115984837382857</v>
      </c>
      <c r="DJ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255.00000000000006</v>
      </c>
      <c r="DP55" s="17">
        <f>DO55*VLOOKUP('Données projet'!$B$14,Paramètres!$A$1:$I$89,3,0)*VLOOKUP('Données projet'!$B$14,Paramètres!$A$1:$I$89,5,0)</f>
        <v>186.96600000000004</v>
      </c>
      <c r="DQ55" s="13">
        <f t="shared" si="43"/>
        <v>46.868551400324648</v>
      </c>
      <c r="DR55" s="20">
        <f t="shared" si="16"/>
        <v>407.26184368889881</v>
      </c>
      <c r="DS55" s="57">
        <f t="shared" si="17"/>
        <v>700.59517702223206</v>
      </c>
      <c r="DT55" s="57">
        <f ca="1">AVERAGE(OFFSET($DS$3,0,0,'Données projet'!$E$14+1,1))-AVERAGE(OFFSET($H$3,0,0,'Données projet'!$E$14+1,1))</f>
        <v>239.25212250019609</v>
      </c>
      <c r="DU55" s="57">
        <f t="shared" si="44"/>
        <v>213.58492101729695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11</v>
      </c>
      <c r="EJ55" s="12">
        <f>IF('Données projet'!$A$192&gt;35,EJ54+EI55-ER54,IF(A55&lt;'Données projet'!$A$192,$EG$205^A55,IF(A55='Données projet'!$A$192,'Données projet'!$B$192,EJ54+EI55-ER54)))</f>
        <v>211.00000000000003</v>
      </c>
      <c r="EK55" s="17">
        <f>EJ55*VLOOKUP('Données projet'!$B$15,Paramètres!$A$1:$I$89,3,0)*VLOOKUP('Données projet'!$B$15,Paramètres!$A$1:$I$89,5,0)</f>
        <v>181.03800000000004</v>
      </c>
      <c r="EL55" s="13">
        <f t="shared" si="45"/>
        <v>45.553044701671382</v>
      </c>
      <c r="EM55" s="20">
        <f t="shared" si="19"/>
        <v>394.64606952207765</v>
      </c>
      <c r="EN55" s="57">
        <f t="shared" si="20"/>
        <v>687.97940285541097</v>
      </c>
      <c r="EO55" s="57">
        <f ca="1">AVERAGE(OFFSET($EN$3,0,0,'Données projet'!$E$15+1,1))-AVERAGE(OFFSET($H$3,0,0,'Données projet'!$E$15+1,1))</f>
        <v>447.10969593632467</v>
      </c>
      <c r="EP55" s="57">
        <f t="shared" si="46"/>
        <v>256.77417912163997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46.932956856974641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46.932956856974641</v>
      </c>
      <c r="EZ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7" t="e">
        <f t="shared" si="23"/>
        <v>#N/A</v>
      </c>
      <c r="FJ55" s="57" t="e">
        <f ca="1">AVERAGE(OFFSET($FI$3,0,0,'Données projet'!$E$16+1,1))-AVERAGE(OFFSET($H$3,0,0,'Données projet'!$E$16+1,1))</f>
        <v>#N/A</v>
      </c>
      <c r="FK55" s="57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7" t="e">
        <f t="shared" si="26"/>
        <v>#N/A</v>
      </c>
      <c r="GE55" s="57" t="e">
        <f ca="1">AVERAGE(OFFSET($GD$3,0,0,'Données projet'!$E$17+1,1))-AVERAGE(OFFSET($H$3,0,0,'Données projet'!$E$17+1,1))</f>
        <v>#N/A</v>
      </c>
      <c r="GF55" s="57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7" t="e">
        <f t="shared" si="29"/>
        <v>#N/A</v>
      </c>
      <c r="GZ55" s="57" t="e">
        <f ca="1">AVERAGE(OFFSET($GY$3,0,0,'Données projet'!$E$18+1,1))-AVERAGE(OFFSET($H$3,0,0,'Données projet'!$E$18+1,1))</f>
        <v>#N/A</v>
      </c>
      <c r="HA55" s="57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0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4">
        <f t="shared" si="1"/>
        <v>256.66666666666669</v>
      </c>
      <c r="I56" s="6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7">
        <f t="shared" si="0"/>
        <v>1040.6058646759229</v>
      </c>
      <c r="S56" s="57">
        <f ca="1">AVERAGE(OFFSET($R$3,0,0,'Données projet'!$E$9+1,1))-AVERAGE(OFFSET($H$3,0,0,'Données projet'!$E$9+1,1))</f>
        <v>443.34220761968419</v>
      </c>
      <c r="T56" s="57">
        <f t="shared" si="34"/>
        <v>546.58234447298014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83.824948019218979</v>
      </c>
      <c r="AA56" s="21">
        <f>EXP(-LN(2)/25)*AA55+(1-EXP(-LN(2)/25))/(LN(2)/25)*Calculateur!V56*Calculateur!X56*VLOOKUP('Données projet'!$B$9,Paramètres!$A$1:$I$89,3,0)*0.475*44/12</f>
        <v>11.594063095284826</v>
      </c>
      <c r="AB56" s="21">
        <f>EXP(-LN(2)/2)*AB55+(1-EXP(-LN(2)/2))/(LN(2)/2)*V56*Y56*VLOOKUP('Données projet'!$B$9,Paramètres!$A$1:$I$89,3,0)*0.475*44/12</f>
        <v>2.0860329671102242E-3</v>
      </c>
      <c r="AC56" s="22">
        <f t="shared" si="3"/>
        <v>95.421097147470917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24</v>
      </c>
      <c r="AI56" s="13">
        <f>IF('Données projet'!$A$62&gt;35,AI55+AH56-AQ55,IF(A56&lt;'Données projet'!$A$62,$AF$205^A56,IF(A56='Données projet'!$A$62,'Données projet'!$B$62,AI55+AH56-AQ55)))</f>
        <v>699.99999999999955</v>
      </c>
      <c r="AJ56" s="13">
        <f>AI56*VLOOKUP('Données projet'!$B$10,Paramètres!$A$1:$I$89,3,0)*VLOOKUP('Données projet'!$B$10,Paramètres!$A$1:$I$89,5,0)</f>
        <v>327.5999999999998</v>
      </c>
      <c r="AK56" s="13">
        <f t="shared" si="35"/>
        <v>76.932514754922536</v>
      </c>
      <c r="AL56" s="20">
        <f t="shared" si="4"/>
        <v>704.5607965314897</v>
      </c>
      <c r="AM56" s="57">
        <f t="shared" si="5"/>
        <v>997.89412986482307</v>
      </c>
      <c r="AN56" s="57">
        <f ca="1">AVERAGE(OFFSET($AM$3,0,0,'Données projet'!$E$10+1,1))-AVERAGE(OFFSET($H$3,0,0,'Données projet'!$E$10+1,1))</f>
        <v>524.3999528951972</v>
      </c>
      <c r="AO56" s="57">
        <f t="shared" si="36"/>
        <v>459.3547783500515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92.152777640064272</v>
      </c>
      <c r="AV56" s="21">
        <f>EXP(-LN(2)/25)*AV55+(1-EXP(-LN(2)/25))/(LN(2)/25)*Calculateur!AQ56*Calculateur!AS56*VLOOKUP('Données projet'!$B$10,Paramètres!$A$1:$I$89,3,0)*0.475*44/12</f>
        <v>28.243901167708042</v>
      </c>
      <c r="AW56" s="21">
        <f>EXP(-LN(2)/2)*AW55+(1-EXP(-LN(2)/2))/(LN(2)/2)*AQ56*AT56*VLOOKUP('Données projet'!$B$10,Paramètres!$A$1:$I$89,3,0)*0.475*44/12</f>
        <v>4.1164131818297663E-4</v>
      </c>
      <c r="AX56" s="21">
        <f t="shared" si="6"/>
        <v>120.3970904490905</v>
      </c>
      <c r="AY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25.4</v>
      </c>
      <c r="BD56" s="12">
        <f>IF('Données projet'!$A$88&gt;35,BD55+BC56-BL55,IF(A56&lt;'Données projet'!$A$88,$BA$205^A56,IF(A56='Données projet'!$A$88,'Données projet'!$B$88,BD55+BC56-BL55)))</f>
        <v>643.20000000000039</v>
      </c>
      <c r="BE56" s="13">
        <f>BD56*VLOOKUP('Données projet'!$B$11,Paramètres!$A$1:$I$89,3,0)*VLOOKUP('Données projet'!$B$11,Paramètres!$A$1:$I$89,5,0)</f>
        <v>309.3792000000002</v>
      </c>
      <c r="BF56" s="13">
        <f t="shared" si="37"/>
        <v>73.139167301517503</v>
      </c>
      <c r="BG56" s="20">
        <f t="shared" si="7"/>
        <v>666.2194897168099</v>
      </c>
      <c r="BH56" s="57">
        <f t="shared" si="8"/>
        <v>959.55282305014316</v>
      </c>
      <c r="BI56" s="57">
        <f ca="1">AVERAGE(OFFSET($BH$3,0,0,'Données projet'!$E$11+1,1))-AVERAGE(OFFSET($H$3,0,0,'Données projet'!$E$11+1,1))</f>
        <v>495.6473104257044</v>
      </c>
      <c r="BJ56" s="57">
        <f t="shared" si="38"/>
        <v>430.92527296485201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88.335568354290473</v>
      </c>
      <c r="BQ56" s="21">
        <f>EXP(-LN(2)/25)*BQ55+(1-EXP(-LN(2)/25))/(LN(2)/25)*Calculateur!BL56*Calculateur!BN56*VLOOKUP('Données projet'!$B$11,Paramètres!$A$1:$I$89,3,0)*0.475*44/12</f>
        <v>26.609416146428636</v>
      </c>
      <c r="BR56" s="21">
        <f>EXP(-LN(2)/2)*BR55+(1-EXP(-LN(2)/2))/(LN(2)/2)*BL56*BO56*VLOOKUP('Données projet'!$B$11,Paramètres!$A$1:$I$89,3,0)*0.475*44/12</f>
        <v>2.5267026899271447E-4</v>
      </c>
      <c r="BS56" s="22">
        <f t="shared" si="9"/>
        <v>114.94523717098809</v>
      </c>
      <c r="BT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7" t="e">
        <f t="shared" si="11"/>
        <v>#NUM!</v>
      </c>
      <c r="CD56" s="57">
        <f ca="1">AVERAGE(OFFSET($CC$3,0,0,'Données projet'!$E$12+1,1))-AVERAGE(OFFSET($H$3,0,0,'Données projet'!$E$12+1,1))</f>
        <v>187.80389738728508</v>
      </c>
      <c r="CE56" s="57">
        <f t="shared" si="40"/>
        <v>439.28159165815265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78.321667933080846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4.2610060935948079E-4</v>
      </c>
      <c r="CN56" s="22">
        <f t="shared" si="12"/>
        <v>78.322094033690206</v>
      </c>
      <c r="CO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</v>
      </c>
      <c r="CT56" s="12">
        <f>IF('Données projet'!$A$140&gt;35,CT55+CS56-DB55,IF(A56&lt;'Données projet'!$A$140,$CQ$205^A56,IF(A56='Données projet'!$A$140,'Données projet'!$B$140,CT55+CS56-DB55)))</f>
        <v>181</v>
      </c>
      <c r="CU56" s="17">
        <f>CT56*VLOOKUP('Données projet'!$B$13,Paramètres!$A$1:$I$89,3,0)*VLOOKUP('Données projet'!$B$13,Paramètres!$A$1:$I$89,5,0)</f>
        <v>163.7688</v>
      </c>
      <c r="CV56" s="13">
        <f t="shared" si="41"/>
        <v>41.691423503509803</v>
      </c>
      <c r="CW56" s="20">
        <f t="shared" si="13"/>
        <v>357.84322260194625</v>
      </c>
      <c r="CX56" s="57">
        <f t="shared" si="14"/>
        <v>651.17655593527957</v>
      </c>
      <c r="CY56" s="57">
        <f ca="1">AVERAGE(OFFSET($CX$3,0,0,'Données projet'!$E$13+1,1))-AVERAGE(OFFSET($H$3,0,0,'Données projet'!$E$13+1,1))</f>
        <v>364.3481978218424</v>
      </c>
      <c r="CZ56" s="57">
        <f t="shared" si="42"/>
        <v>231.36959598460686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29.525428743658747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29.525428743658747</v>
      </c>
      <c r="DJ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255.00000000000006</v>
      </c>
      <c r="DP56" s="17">
        <f>DO56*VLOOKUP('Données projet'!$B$14,Paramètres!$A$1:$I$89,3,0)*VLOOKUP('Données projet'!$B$14,Paramètres!$A$1:$I$89,5,0)</f>
        <v>186.96600000000004</v>
      </c>
      <c r="DQ56" s="13">
        <f t="shared" si="43"/>
        <v>46.868551400324648</v>
      </c>
      <c r="DR56" s="20">
        <f t="shared" si="16"/>
        <v>407.26184368889881</v>
      </c>
      <c r="DS56" s="57">
        <f t="shared" si="17"/>
        <v>700.59517702223206</v>
      </c>
      <c r="DT56" s="57">
        <f ca="1">AVERAGE(OFFSET($DS$3,0,0,'Données projet'!$E$14+1,1))-AVERAGE(OFFSET($H$3,0,0,'Données projet'!$E$14+1,1))</f>
        <v>239.25212250019609</v>
      </c>
      <c r="DU56" s="57">
        <f t="shared" si="44"/>
        <v>213.58492101729695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11</v>
      </c>
      <c r="EJ56" s="12">
        <f>IF('Données projet'!$A$192&gt;35,EJ55+EI56-ER55,IF(A56&lt;'Données projet'!$A$192,$EG$205^A56,IF(A56='Données projet'!$A$192,'Données projet'!$B$192,EJ55+EI56-ER55)))</f>
        <v>222.00000000000003</v>
      </c>
      <c r="EK56" s="17">
        <f>EJ56*VLOOKUP('Données projet'!$B$15,Paramètres!$A$1:$I$89,3,0)*VLOOKUP('Données projet'!$B$15,Paramètres!$A$1:$I$89,5,0)</f>
        <v>190.47600000000006</v>
      </c>
      <c r="EL56" s="13">
        <f t="shared" si="45"/>
        <v>47.645174362968355</v>
      </c>
      <c r="EM56" s="20">
        <f t="shared" si="19"/>
        <v>414.7277120155033</v>
      </c>
      <c r="EN56" s="57">
        <f t="shared" si="20"/>
        <v>708.06104534883661</v>
      </c>
      <c r="EO56" s="57">
        <f ca="1">AVERAGE(OFFSET($EN$3,0,0,'Données projet'!$E$15+1,1))-AVERAGE(OFFSET($H$3,0,0,'Données projet'!$E$15+1,1))</f>
        <v>447.10969593632467</v>
      </c>
      <c r="EP56" s="57">
        <f t="shared" si="46"/>
        <v>256.77417912163997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46.012630199286441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46.012630199286441</v>
      </c>
      <c r="EZ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7" t="e">
        <f t="shared" si="23"/>
        <v>#N/A</v>
      </c>
      <c r="FJ56" s="57" t="e">
        <f ca="1">AVERAGE(OFFSET($FI$3,0,0,'Données projet'!$E$16+1,1))-AVERAGE(OFFSET($H$3,0,0,'Données projet'!$E$16+1,1))</f>
        <v>#N/A</v>
      </c>
      <c r="FK56" s="57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7" t="e">
        <f t="shared" si="26"/>
        <v>#N/A</v>
      </c>
      <c r="GE56" s="57" t="e">
        <f ca="1">AVERAGE(OFFSET($GD$3,0,0,'Données projet'!$E$17+1,1))-AVERAGE(OFFSET($H$3,0,0,'Données projet'!$E$17+1,1))</f>
        <v>#N/A</v>
      </c>
      <c r="GF56" s="57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7" t="e">
        <f t="shared" si="29"/>
        <v>#N/A</v>
      </c>
      <c r="GZ56" s="57" t="e">
        <f ca="1">AVERAGE(OFFSET($GY$3,0,0,'Données projet'!$E$18+1,1))-AVERAGE(OFFSET($H$3,0,0,'Données projet'!$E$18+1,1))</f>
        <v>#N/A</v>
      </c>
      <c r="HA56" s="57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0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4">
        <f t="shared" si="1"/>
        <v>256.66666666666669</v>
      </c>
      <c r="I57" s="6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7">
        <f t="shared" si="0"/>
        <v>1056.8063273480652</v>
      </c>
      <c r="S57" s="57">
        <f ca="1">AVERAGE(OFFSET($R$3,0,0,'Données projet'!$E$9+1,1))-AVERAGE(OFFSET($H$3,0,0,'Données projet'!$E$9+1,1))</f>
        <v>443.34220761968419</v>
      </c>
      <c r="T57" s="57">
        <f t="shared" si="34"/>
        <v>546.58234447298014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82.181191916731905</v>
      </c>
      <c r="AA57" s="21">
        <f>EXP(-LN(2)/25)*AA56+(1-EXP(-LN(2)/25))/(LN(2)/25)*Calculateur!V57*Calculateur!X57*VLOOKUP('Données projet'!$B$9,Paramètres!$A$1:$I$89,3,0)*0.475*44/12</f>
        <v>11.277022830238982</v>
      </c>
      <c r="AB57" s="21">
        <f>EXP(-LN(2)/2)*AB56+(1-EXP(-LN(2)/2))/(LN(2)/2)*V57*Y57*VLOOKUP('Données projet'!$B$9,Paramètres!$A$1:$I$89,3,0)*0.475*44/12</f>
        <v>1.4750480568223338E-3</v>
      </c>
      <c r="AC57" s="22">
        <f t="shared" si="3"/>
        <v>93.4596897950277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24</v>
      </c>
      <c r="AI57" s="13">
        <f>IF('Données projet'!$A$62&gt;35,AI56+AH57-AQ56,IF(A57&lt;'Données projet'!$A$62,$AF$205^A57,IF(A57='Données projet'!$A$62,'Données projet'!$B$62,AI56+AH57-AQ56)))</f>
        <v>723.99999999999955</v>
      </c>
      <c r="AJ57" s="13">
        <f>AI57*VLOOKUP('Données projet'!$B$10,Paramètres!$A$1:$I$89,3,0)*VLOOKUP('Données projet'!$B$10,Paramètres!$A$1:$I$89,5,0)</f>
        <v>338.83199999999977</v>
      </c>
      <c r="AK57" s="13">
        <f t="shared" si="35"/>
        <v>79.258581917649366</v>
      </c>
      <c r="AL57" s="20">
        <f t="shared" si="4"/>
        <v>728.17443017323887</v>
      </c>
      <c r="AM57" s="57">
        <f t="shared" si="5"/>
        <v>1021.5077635065722</v>
      </c>
      <c r="AN57" s="57">
        <f ca="1">AVERAGE(OFFSET($AM$3,0,0,'Données projet'!$E$10+1,1))-AVERAGE(OFFSET($H$3,0,0,'Données projet'!$E$10+1,1))</f>
        <v>524.3999528951972</v>
      </c>
      <c r="AO57" s="57">
        <f t="shared" si="36"/>
        <v>459.3547783500515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90.345717878186932</v>
      </c>
      <c r="AV57" s="21">
        <f>EXP(-LN(2)/25)*AV56+(1-EXP(-LN(2)/25))/(LN(2)/25)*Calculateur!AQ57*Calculateur!AS57*VLOOKUP('Données projet'!$B$10,Paramètres!$A$1:$I$89,3,0)*0.475*44/12</f>
        <v>27.471570204994855</v>
      </c>
      <c r="AW57" s="21">
        <f>EXP(-LN(2)/2)*AW56+(1-EXP(-LN(2)/2))/(LN(2)/2)*AQ57*AT57*VLOOKUP('Données projet'!$B$10,Paramètres!$A$1:$I$89,3,0)*0.475*44/12</f>
        <v>2.9107436750375204E-4</v>
      </c>
      <c r="AX57" s="21">
        <f t="shared" si="6"/>
        <v>117.81757915754929</v>
      </c>
      <c r="AY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25.4</v>
      </c>
      <c r="BD57" s="12">
        <f>IF('Données projet'!$A$88&gt;35,BD56+BC57-BL56,IF(A57&lt;'Données projet'!$A$88,$BA$205^A57,IF(A57='Données projet'!$A$88,'Données projet'!$B$88,BD56+BC57-BL56)))</f>
        <v>668.60000000000036</v>
      </c>
      <c r="BE57" s="13">
        <f>BD57*VLOOKUP('Données projet'!$B$11,Paramètres!$A$1:$I$89,3,0)*VLOOKUP('Données projet'!$B$11,Paramètres!$A$1:$I$89,5,0)</f>
        <v>321.59660000000014</v>
      </c>
      <c r="BF57" s="13">
        <f t="shared" si="37"/>
        <v>75.685461055982486</v>
      </c>
      <c r="BG57" s="20">
        <f t="shared" si="7"/>
        <v>691.93292300583641</v>
      </c>
      <c r="BH57" s="57">
        <f t="shared" si="8"/>
        <v>985.26625633916979</v>
      </c>
      <c r="BI57" s="57">
        <f ca="1">AVERAGE(OFFSET($BH$3,0,0,'Données projet'!$E$11+1,1))-AVERAGE(OFFSET($H$3,0,0,'Données projet'!$E$11+1,1))</f>
        <v>495.6473104257044</v>
      </c>
      <c r="BJ57" s="57">
        <f t="shared" si="38"/>
        <v>430.92527296485201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86.603361738239386</v>
      </c>
      <c r="BQ57" s="21">
        <f>EXP(-LN(2)/25)*BQ56+(1-EXP(-LN(2)/25))/(LN(2)/25)*Calculateur!BL57*Calculateur!BN57*VLOOKUP('Données projet'!$B$11,Paramètres!$A$1:$I$89,3,0)*0.475*44/12</f>
        <v>25.881780262576168</v>
      </c>
      <c r="BR57" s="21">
        <f>EXP(-LN(2)/2)*BR56+(1-EXP(-LN(2)/2))/(LN(2)/2)*BL57*BO57*VLOOKUP('Données projet'!$B$11,Paramètres!$A$1:$I$89,3,0)*0.475*44/12</f>
        <v>1.7866486060897746E-4</v>
      </c>
      <c r="BS57" s="22">
        <f t="shared" si="9"/>
        <v>112.48532066567617</v>
      </c>
      <c r="BT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7" t="e">
        <f t="shared" si="11"/>
        <v>#NUM!</v>
      </c>
      <c r="CD57" s="57">
        <f ca="1">AVERAGE(OFFSET($CC$3,0,0,'Données projet'!$E$12+1,1))-AVERAGE(OFFSET($H$3,0,0,'Données projet'!$E$12+1,1))</f>
        <v>187.80389738728508</v>
      </c>
      <c r="CE57" s="57">
        <f t="shared" si="40"/>
        <v>439.28159165815265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76.785827796413528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3.0129863034580894E-4</v>
      </c>
      <c r="CN57" s="22">
        <f t="shared" si="12"/>
        <v>76.786129095043876</v>
      </c>
      <c r="CO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</v>
      </c>
      <c r="CT57" s="12">
        <f>IF('Données projet'!$A$140&gt;35,CT56+CS57-DB56,IF(A57&lt;'Données projet'!$A$140,$CQ$205^A57,IF(A57='Données projet'!$A$140,'Données projet'!$B$140,CT56+CS57-DB56)))</f>
        <v>189</v>
      </c>
      <c r="CU57" s="17">
        <f>CT57*VLOOKUP('Données projet'!$B$13,Paramètres!$A$1:$I$89,3,0)*VLOOKUP('Données projet'!$B$13,Paramètres!$A$1:$I$89,5,0)</f>
        <v>171.00719999999998</v>
      </c>
      <c r="CV57" s="13">
        <f t="shared" si="41"/>
        <v>43.315525267338089</v>
      </c>
      <c r="CW57" s="20">
        <f t="shared" si="13"/>
        <v>373.27874650728046</v>
      </c>
      <c r="CX57" s="57">
        <f t="shared" si="14"/>
        <v>666.61207984061377</v>
      </c>
      <c r="CY57" s="57">
        <f ca="1">AVERAGE(OFFSET($CX$3,0,0,'Données projet'!$E$13+1,1))-AVERAGE(OFFSET($H$3,0,0,'Données projet'!$E$13+1,1))</f>
        <v>364.3481978218424</v>
      </c>
      <c r="CZ57" s="57">
        <f t="shared" si="42"/>
        <v>231.36959598460686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28.946453094728916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28.946453094728916</v>
      </c>
      <c r="DJ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255.00000000000006</v>
      </c>
      <c r="DP57" s="17">
        <f>DO57*VLOOKUP('Données projet'!$B$14,Paramètres!$A$1:$I$89,3,0)*VLOOKUP('Données projet'!$B$14,Paramètres!$A$1:$I$89,5,0)</f>
        <v>186.96600000000004</v>
      </c>
      <c r="DQ57" s="13">
        <f t="shared" si="43"/>
        <v>46.868551400324648</v>
      </c>
      <c r="DR57" s="20">
        <f t="shared" si="16"/>
        <v>407.26184368889881</v>
      </c>
      <c r="DS57" s="57">
        <f t="shared" si="17"/>
        <v>700.59517702223206</v>
      </c>
      <c r="DT57" s="57">
        <f ca="1">AVERAGE(OFFSET($DS$3,0,0,'Données projet'!$E$14+1,1))-AVERAGE(OFFSET($H$3,0,0,'Données projet'!$E$14+1,1))</f>
        <v>239.25212250019609</v>
      </c>
      <c r="DU57" s="57">
        <f t="shared" si="44"/>
        <v>213.58492101729695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11</v>
      </c>
      <c r="EJ57" s="12">
        <f>IF('Données projet'!$A$192&gt;35,EJ56+EI57-ER56,IF(A57&lt;'Données projet'!$A$192,$EG$205^A57,IF(A57='Données projet'!$A$192,'Données projet'!$B$192,EJ56+EI57-ER56)))</f>
        <v>233.00000000000003</v>
      </c>
      <c r="EK57" s="17">
        <f>EJ57*VLOOKUP('Données projet'!$B$15,Paramètres!$A$1:$I$89,3,0)*VLOOKUP('Données projet'!$B$15,Paramètres!$A$1:$I$89,5,0)</f>
        <v>199.91400000000007</v>
      </c>
      <c r="EL57" s="13">
        <f t="shared" si="45"/>
        <v>49.725267055272241</v>
      </c>
      <c r="EM57" s="20">
        <f t="shared" si="19"/>
        <v>434.78839012126599</v>
      </c>
      <c r="EN57" s="57">
        <f t="shared" si="20"/>
        <v>728.12172345459931</v>
      </c>
      <c r="EO57" s="57">
        <f ca="1">AVERAGE(OFFSET($EN$3,0,0,'Données projet'!$E$15+1,1))-AVERAGE(OFFSET($H$3,0,0,'Données projet'!$E$15+1,1))</f>
        <v>447.10969593632467</v>
      </c>
      <c r="EP57" s="57">
        <f t="shared" si="46"/>
        <v>256.77417912163997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45.110350586011677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45.110350586011677</v>
      </c>
      <c r="EZ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7" t="e">
        <f t="shared" si="23"/>
        <v>#N/A</v>
      </c>
      <c r="FJ57" s="57" t="e">
        <f ca="1">AVERAGE(OFFSET($FI$3,0,0,'Données projet'!$E$16+1,1))-AVERAGE(OFFSET($H$3,0,0,'Données projet'!$E$16+1,1))</f>
        <v>#N/A</v>
      </c>
      <c r="FK57" s="57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7" t="e">
        <f t="shared" si="26"/>
        <v>#N/A</v>
      </c>
      <c r="GE57" s="57" t="e">
        <f ca="1">AVERAGE(OFFSET($GD$3,0,0,'Données projet'!$E$17+1,1))-AVERAGE(OFFSET($H$3,0,0,'Données projet'!$E$17+1,1))</f>
        <v>#N/A</v>
      </c>
      <c r="GF57" s="57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7" t="e">
        <f t="shared" si="29"/>
        <v>#N/A</v>
      </c>
      <c r="GZ57" s="57" t="e">
        <f ca="1">AVERAGE(OFFSET($GY$3,0,0,'Données projet'!$E$18+1,1))-AVERAGE(OFFSET($H$3,0,0,'Données projet'!$E$18+1,1))</f>
        <v>#N/A</v>
      </c>
      <c r="HA57" s="57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0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4">
        <f t="shared" si="1"/>
        <v>256.66666666666669</v>
      </c>
      <c r="I58" s="6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7">
        <f t="shared" si="0"/>
        <v>1072.9998172506673</v>
      </c>
      <c r="S58" s="57">
        <f ca="1">AVERAGE(OFFSET($R$3,0,0,'Données projet'!$E$9+1,1))-AVERAGE(OFFSET($H$3,0,0,'Données projet'!$E$9+1,1))</f>
        <v>443.34220761968419</v>
      </c>
      <c r="T58" s="57">
        <f t="shared" si="34"/>
        <v>546.58234447298014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94.844497332693408</v>
      </c>
      <c r="AA58" s="21">
        <f>EXP(-LN(2)/25)*AA57+(1-EXP(-LN(2)/25))/(LN(2)/25)*Calculateur!V58*Calculateur!X58*VLOOKUP('Données projet'!$B$9,Paramètres!$A$1:$I$89,3,0)*0.475*44/12</f>
        <v>10.96865204791324</v>
      </c>
      <c r="AB58" s="21">
        <f>EXP(-LN(2)/2)*AB57+(1-EXP(-LN(2)/2))/(LN(2)/2)*V58*Y58*VLOOKUP('Données projet'!$B$9,Paramètres!$A$1:$I$89,3,0)*0.475*44/12</f>
        <v>1.0430164835551121E-3</v>
      </c>
      <c r="AC58" s="22">
        <f t="shared" si="3"/>
        <v>105.8141923970902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748</v>
      </c>
      <c r="AG58" s="12">
        <f>VLOOKUP(A58,'Données projet'!$A$61:$I$81,9,0)</f>
        <v>24</v>
      </c>
      <c r="AH58" s="12">
        <f t="array" ref="AH58">INDEX(AG:AG,MIN(IF(ISNUMBER(AG58:AG254),ROW(AG58:AG254),"")))</f>
        <v>24</v>
      </c>
      <c r="AI58" s="13">
        <f>IF('Données projet'!$A$62&gt;35,AI57+AH58-AQ57,IF(A58&lt;'Données projet'!$A$62,$AF$205^A58,IF(A58='Données projet'!$A$62,'Données projet'!$B$62,AI57+AH58-AQ57)))</f>
        <v>747.99999999999955</v>
      </c>
      <c r="AJ58" s="13">
        <f>AI58*VLOOKUP('Données projet'!$B$10,Paramètres!$A$1:$I$89,3,0)*VLOOKUP('Données projet'!$B$10,Paramètres!$A$1:$I$89,5,0)</f>
        <v>350.06399999999974</v>
      </c>
      <c r="AK58" s="13">
        <f t="shared" si="35"/>
        <v>81.575689362490451</v>
      </c>
      <c r="AL58" s="20">
        <f t="shared" si="4"/>
        <v>751.77245897300372</v>
      </c>
      <c r="AM58" s="57">
        <f t="shared" si="5"/>
        <v>1045.105792306337</v>
      </c>
      <c r="AN58" s="57">
        <f ca="1">AVERAGE(OFFSET($AM$3,0,0,'Données projet'!$E$10+1,1))-AVERAGE(OFFSET($H$3,0,0,'Données projet'!$E$10+1,1))</f>
        <v>524.3999528951972</v>
      </c>
      <c r="AO58" s="57">
        <f t="shared" si="36"/>
        <v>459.3547783500515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70</v>
      </c>
      <c r="AR58" s="16">
        <f>IF(ISNA(VLOOKUP(A58,'Données projet'!$A$61:$I$81,5,0)),0%,VLOOKUP(A58,'Données projet'!$A$61:$I$81,5,0)*VLOOKUP('Données projet'!$B$10,Paramètres!$A$1:$I$89,7,0))</f>
        <v>0.55000000000000004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112.47613181415201</v>
      </c>
      <c r="AV58" s="21">
        <f>EXP(-LN(2)/25)*AV57+(1-EXP(-LN(2)/25))/(LN(2)/25)*Calculateur!AQ58*Calculateur!AS58*VLOOKUP('Données projet'!$B$10,Paramètres!$A$1:$I$89,3,0)*0.475*44/12</f>
        <v>26.72035867307218</v>
      </c>
      <c r="AW58" s="21">
        <f>EXP(-LN(2)/2)*AW57+(1-EXP(-LN(2)/2))/(LN(2)/2)*AQ58*AT58*VLOOKUP('Données projet'!$B$10,Paramètres!$A$1:$I$89,3,0)*0.475*44/12</f>
        <v>2.0582065909148831E-4</v>
      </c>
      <c r="AX58" s="21">
        <f t="shared" si="6"/>
        <v>139.19669630788329</v>
      </c>
      <c r="AY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694</v>
      </c>
      <c r="BB58" s="12">
        <f>VLOOKUP(A58,'Données projet'!$A$87:$I$107,9,0)</f>
        <v>25.4</v>
      </c>
      <c r="BC58" s="12">
        <f t="array" ref="BC58">INDEX(BB:BB,MIN(IF(ISNUMBER(BB58:BB254),ROW(BB58:BB254),"")))</f>
        <v>25.4</v>
      </c>
      <c r="BD58" s="12">
        <f>IF('Données projet'!$A$88&gt;35,BD57+BC58-BL57,IF(A58&lt;'Données projet'!$A$88,$BA$205^A58,IF(A58='Données projet'!$A$88,'Données projet'!$B$88,BD57+BC58-BL57)))</f>
        <v>694.00000000000034</v>
      </c>
      <c r="BE58" s="13">
        <f>BD58*VLOOKUP('Données projet'!$B$11,Paramètres!$A$1:$I$89,3,0)*VLOOKUP('Données projet'!$B$11,Paramètres!$A$1:$I$89,5,0)</f>
        <v>333.81400000000019</v>
      </c>
      <c r="BF58" s="13">
        <f t="shared" si="37"/>
        <v>78.220517061978072</v>
      </c>
      <c r="BG58" s="20">
        <f t="shared" si="7"/>
        <v>717.62678388294546</v>
      </c>
      <c r="BH58" s="57">
        <f t="shared" si="8"/>
        <v>1010.9601172162788</v>
      </c>
      <c r="BI58" s="57">
        <f ca="1">AVERAGE(OFFSET($BH$3,0,0,'Données projet'!$E$11+1,1))-AVERAGE(OFFSET($H$3,0,0,'Données projet'!$E$11+1,1))</f>
        <v>495.6473104257044</v>
      </c>
      <c r="BJ58" s="57">
        <f t="shared" si="38"/>
        <v>430.92527296485201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73</v>
      </c>
      <c r="BM58" s="16">
        <f>IF(ISNA(VLOOKUP(A58,'Données projet'!$A$87:$I$107,5,0)),0%,VLOOKUP(A58,'Données projet'!$A$87:$I$107,5,0)*VLOOKUP('Données projet'!$B$11,Paramètres!$A$1:$I$89,7,0))</f>
        <v>0.55000000000000004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110.52393438550406</v>
      </c>
      <c r="BQ58" s="21">
        <f>EXP(-LN(2)/25)*BQ57+(1-EXP(-LN(2)/25))/(LN(2)/25)*Calculateur!BL58*Calculateur!BN58*VLOOKUP('Données projet'!$B$11,Paramètres!$A$1:$I$89,3,0)*0.475*44/12</f>
        <v>25.174041620232352</v>
      </c>
      <c r="BR58" s="21">
        <f>EXP(-LN(2)/2)*BR57+(1-EXP(-LN(2)/2))/(LN(2)/2)*BL58*BO58*VLOOKUP('Données projet'!$B$11,Paramètres!$A$1:$I$89,3,0)*0.475*44/12</f>
        <v>1.2633513449635724E-4</v>
      </c>
      <c r="BS58" s="22">
        <f t="shared" si="9"/>
        <v>135.69810234087092</v>
      </c>
      <c r="BT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7" t="e">
        <f t="shared" si="11"/>
        <v>#NUM!</v>
      </c>
      <c r="CD58" s="57">
        <f ca="1">AVERAGE(OFFSET($CC$3,0,0,'Données projet'!$E$12+1,1))-AVERAGE(OFFSET($H$3,0,0,'Données projet'!$E$12+1,1))</f>
        <v>187.80389738728508</v>
      </c>
      <c r="CE58" s="57">
        <f t="shared" si="40"/>
        <v>439.28159165815265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75.280104548056272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2.130503046797404E-4</v>
      </c>
      <c r="CN58" s="22">
        <f t="shared" si="12"/>
        <v>75.280317598360952</v>
      </c>
      <c r="CO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197</v>
      </c>
      <c r="CR58" s="12">
        <f>VLOOKUP(A58,'Données projet'!$A$139:$I$159,9,0)</f>
        <v>8</v>
      </c>
      <c r="CS58" s="12">
        <f t="array" ref="CS58">INDEX(CR:CR,MIN(IF(ISNUMBER(CR58:CR254),ROW(CR58:CR254),"")))</f>
        <v>8</v>
      </c>
      <c r="CT58" s="12">
        <f>IF('Données projet'!$A$140&gt;35,CT57+CS58-DB57,IF(A58&lt;'Données projet'!$A$140,$CQ$205^A58,IF(A58='Données projet'!$A$140,'Données projet'!$B$140,CT57+CS58-DB57)))</f>
        <v>197</v>
      </c>
      <c r="CU58" s="17">
        <f>CT58*VLOOKUP('Données projet'!$B$13,Paramètres!$A$1:$I$89,3,0)*VLOOKUP('Données projet'!$B$13,Paramètres!$A$1:$I$89,5,0)</f>
        <v>178.2456</v>
      </c>
      <c r="CV58" s="13">
        <f t="shared" si="41"/>
        <v>44.931642269910427</v>
      </c>
      <c r="CW58" s="20">
        <f t="shared" si="13"/>
        <v>388.70036362009404</v>
      </c>
      <c r="CX58" s="57">
        <f t="shared" si="14"/>
        <v>682.03369695342735</v>
      </c>
      <c r="CY58" s="57">
        <f ca="1">AVERAGE(OFFSET($CX$3,0,0,'Données projet'!$E$13+1,1))-AVERAGE(OFFSET($H$3,0,0,'Données projet'!$E$13+1,1))</f>
        <v>364.3481978218424</v>
      </c>
      <c r="CZ58" s="57">
        <f t="shared" si="42"/>
        <v>231.36959598460686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21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37.410904087729087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37.410904087729087</v>
      </c>
      <c r="DJ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255.00000000000006</v>
      </c>
      <c r="DP58" s="17">
        <f>DO58*VLOOKUP('Données projet'!$B$14,Paramètres!$A$1:$I$89,3,0)*VLOOKUP('Données projet'!$B$14,Paramètres!$A$1:$I$89,5,0)</f>
        <v>186.96600000000004</v>
      </c>
      <c r="DQ58" s="13">
        <f t="shared" si="43"/>
        <v>46.868551400324648</v>
      </c>
      <c r="DR58" s="20">
        <f t="shared" si="16"/>
        <v>407.26184368889881</v>
      </c>
      <c r="DS58" s="57">
        <f t="shared" si="17"/>
        <v>700.59517702223206</v>
      </c>
      <c r="DT58" s="57">
        <f ca="1">AVERAGE(OFFSET($DS$3,0,0,'Données projet'!$E$14+1,1))-AVERAGE(OFFSET($H$3,0,0,'Données projet'!$E$14+1,1))</f>
        <v>239.25212250019609</v>
      </c>
      <c r="DU58" s="57">
        <f t="shared" si="44"/>
        <v>213.58492101729695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244</v>
      </c>
      <c r="EH58" s="12">
        <f>VLOOKUP(A58,'Données projet'!$A$191:$I$211,9,0)</f>
        <v>11</v>
      </c>
      <c r="EI58" s="12">
        <f t="array" ref="EI58">INDEX(EH:EH,MIN(IF(ISNUMBER(EH58:EH254),ROW(EH58:EH254),"")))</f>
        <v>11</v>
      </c>
      <c r="EJ58" s="12">
        <f>IF('Données projet'!$A$192&gt;35,EJ57+EI58-ER57,IF(A58&lt;'Données projet'!$A$192,$EG$205^A58,IF(A58='Données projet'!$A$192,'Données projet'!$B$192,EJ57+EI58-ER57)))</f>
        <v>244.00000000000003</v>
      </c>
      <c r="EK58" s="17">
        <f>EJ58*VLOOKUP('Données projet'!$B$15,Paramètres!$A$1:$I$89,3,0)*VLOOKUP('Données projet'!$B$15,Paramètres!$A$1:$I$89,5,0)</f>
        <v>209.35200000000003</v>
      </c>
      <c r="EL58" s="13">
        <f t="shared" si="45"/>
        <v>51.79395593509436</v>
      </c>
      <c r="EM58" s="20">
        <f t="shared" si="19"/>
        <v>454.82920658695599</v>
      </c>
      <c r="EN58" s="57">
        <f t="shared" si="20"/>
        <v>748.1625399202893</v>
      </c>
      <c r="EO58" s="57">
        <f ca="1">AVERAGE(OFFSET($EN$3,0,0,'Données projet'!$E$15+1,1))-AVERAGE(OFFSET($H$3,0,0,'Données projet'!$E$15+1,1))</f>
        <v>447.10969593632467</v>
      </c>
      <c r="EP58" s="57">
        <f t="shared" si="46"/>
        <v>256.77417912163997</v>
      </c>
      <c r="EQ58" s="15">
        <f>IF(ISNA(VLOOKUP(A58,'Données projet'!$A$191:$I$211,3,0)),0,VLOOKUP(A58,'Données projet'!$A$191:$I$211,3,0))</f>
        <v>7</v>
      </c>
      <c r="ER58" s="15">
        <f>IF(ISNA(VLOOKUP(A58,'Données projet'!$A$191:$I$211,4,0)),0,VLOOKUP(A58,'Données projet'!$A$191:$I$211,4,0))</f>
        <v>28</v>
      </c>
      <c r="ES58" s="16">
        <f>IF(ISNA(VLOOKUP(A58,'Données projet'!$A$191:$I$211,5,0)),0%,VLOOKUP(A58,'Données projet'!$A$191:$I$211,5,0)*VLOOKUP('Données projet'!$B$15,Paramètres!$A$1:$I$89,7,0))</f>
        <v>0.53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58.30140893650379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58.30140893650379</v>
      </c>
      <c r="EZ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7" t="e">
        <f t="shared" si="23"/>
        <v>#N/A</v>
      </c>
      <c r="FJ58" s="57" t="e">
        <f ca="1">AVERAGE(OFFSET($FI$3,0,0,'Données projet'!$E$16+1,1))-AVERAGE(OFFSET($H$3,0,0,'Données projet'!$E$16+1,1))</f>
        <v>#N/A</v>
      </c>
      <c r="FK58" s="57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7" t="e">
        <f t="shared" si="26"/>
        <v>#N/A</v>
      </c>
      <c r="GE58" s="57" t="e">
        <f ca="1">AVERAGE(OFFSET($GD$3,0,0,'Données projet'!$E$17+1,1))-AVERAGE(OFFSET($H$3,0,0,'Données projet'!$E$17+1,1))</f>
        <v>#N/A</v>
      </c>
      <c r="GF58" s="57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7" t="e">
        <f t="shared" si="29"/>
        <v>#N/A</v>
      </c>
      <c r="GZ58" s="57" t="e">
        <f ca="1">AVERAGE(OFFSET($GY$3,0,0,'Données projet'!$E$18+1,1))-AVERAGE(OFFSET($H$3,0,0,'Données projet'!$E$18+1,1))</f>
        <v>#N/A</v>
      </c>
      <c r="HA58" s="57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0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4">
        <f t="shared" si="1"/>
        <v>256.66666666666669</v>
      </c>
      <c r="I59" s="6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7">
        <f t="shared" si="0"/>
        <v>1043.8934871843389</v>
      </c>
      <c r="S59" s="57">
        <f ca="1">AVERAGE(OFFSET($R$3,0,0,'Données projet'!$E$9+1,1))-AVERAGE(OFFSET($H$3,0,0,'Données projet'!$E$9+1,1))</f>
        <v>443.34220761968419</v>
      </c>
      <c r="T59" s="57">
        <f t="shared" si="34"/>
        <v>546.58234447298014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92.984654589430505</v>
      </c>
      <c r="AA59" s="21">
        <f>EXP(-LN(2)/25)*AA58+(1-EXP(-LN(2)/25))/(LN(2)/25)*Calculateur!V59*Calculateur!X59*VLOOKUP('Données projet'!$B$9,Paramètres!$A$1:$I$89,3,0)*0.475*44/12</f>
        <v>10.668713680846711</v>
      </c>
      <c r="AB59" s="21">
        <f>EXP(-LN(2)/2)*AB58+(1-EXP(-LN(2)/2))/(LN(2)/2)*V59*Y59*VLOOKUP('Données projet'!$B$9,Paramètres!$A$1:$I$89,3,0)*0.475*44/12</f>
        <v>7.375240284111669E-4</v>
      </c>
      <c r="AC59" s="22">
        <f t="shared" si="3"/>
        <v>103.65410579430562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24</v>
      </c>
      <c r="AI59" s="13">
        <f>IF('Données projet'!$A$62&gt;35,AI58+AH59-AQ58,IF(A59&lt;'Données projet'!$A$62,$AF$205^A59,IF(A59='Données projet'!$A$62,'Données projet'!$B$62,AI58+AH59-AQ58)))</f>
        <v>701.99999999999955</v>
      </c>
      <c r="AJ59" s="13">
        <f>AI59*VLOOKUP('Données projet'!$B$10,Paramètres!$A$1:$I$89,3,0)*VLOOKUP('Données projet'!$B$10,Paramètres!$A$1:$I$89,5,0)</f>
        <v>328.53599999999977</v>
      </c>
      <c r="AK59" s="13">
        <f t="shared" si="35"/>
        <v>77.126704121605556</v>
      </c>
      <c r="AL59" s="20">
        <f t="shared" si="4"/>
        <v>706.52920967846251</v>
      </c>
      <c r="AM59" s="57">
        <f t="shared" si="5"/>
        <v>999.86254301179588</v>
      </c>
      <c r="AN59" s="57">
        <f ca="1">AVERAGE(OFFSET($AM$3,0,0,'Données projet'!$E$10+1,1))-AVERAGE(OFFSET($H$3,0,0,'Données projet'!$E$10+1,1))</f>
        <v>524.3999528951972</v>
      </c>
      <c r="AO59" s="57">
        <f t="shared" si="36"/>
        <v>459.3547783500515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110.27054347294285</v>
      </c>
      <c r="AV59" s="21">
        <f>EXP(-LN(2)/25)*AV58+(1-EXP(-LN(2)/25))/(LN(2)/25)*Calculateur!AQ59*Calculateur!AS59*VLOOKUP('Données projet'!$B$10,Paramètres!$A$1:$I$89,3,0)*0.475*44/12</f>
        <v>25.989689059994429</v>
      </c>
      <c r="AW59" s="21">
        <f>EXP(-LN(2)/2)*AW58+(1-EXP(-LN(2)/2))/(LN(2)/2)*AQ59*AT59*VLOOKUP('Données projet'!$B$10,Paramètres!$A$1:$I$89,3,0)*0.475*44/12</f>
        <v>1.4553718375187602E-4</v>
      </c>
      <c r="AX59" s="21">
        <f t="shared" si="6"/>
        <v>136.26037807012102</v>
      </c>
      <c r="AY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23.8</v>
      </c>
      <c r="BD59" s="12">
        <f>IF('Données projet'!$A$88&gt;35,BD58+BC59-BL58,IF(A59&lt;'Données projet'!$A$88,$BA$205^A59,IF(A59='Données projet'!$A$88,'Données projet'!$B$88,BD58+BC59-BL58)))</f>
        <v>644.8000000000003</v>
      </c>
      <c r="BE59" s="13">
        <f>BD59*VLOOKUP('Données projet'!$B$11,Paramètres!$A$1:$I$89,3,0)*VLOOKUP('Données projet'!$B$11,Paramètres!$A$1:$I$89,5,0)</f>
        <v>310.14880000000016</v>
      </c>
      <c r="BF59" s="13">
        <f t="shared" si="37"/>
        <v>73.299904666217628</v>
      </c>
      <c r="BG59" s="20">
        <f t="shared" si="7"/>
        <v>667.83982729366255</v>
      </c>
      <c r="BH59" s="57">
        <f t="shared" si="8"/>
        <v>961.17316062699592</v>
      </c>
      <c r="BI59" s="57">
        <f ca="1">AVERAGE(OFFSET($BH$3,0,0,'Données projet'!$E$11+1,1))-AVERAGE(OFFSET($H$3,0,0,'Données projet'!$E$11+1,1))</f>
        <v>495.6473104257044</v>
      </c>
      <c r="BJ59" s="57">
        <f t="shared" si="38"/>
        <v>430.92527296485201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108.35662744514782</v>
      </c>
      <c r="BQ59" s="21">
        <f>EXP(-LN(2)/25)*BQ58+(1-EXP(-LN(2)/25))/(LN(2)/25)*Calculateur!BL59*Calculateur!BN59*VLOOKUP('Données projet'!$B$11,Paramètres!$A$1:$I$89,3,0)*0.475*44/12</f>
        <v>24.485656128281786</v>
      </c>
      <c r="BR59" s="21">
        <f>EXP(-LN(2)/2)*BR58+(1-EXP(-LN(2)/2))/(LN(2)/2)*BL59*BO59*VLOOKUP('Données projet'!$B$11,Paramètres!$A$1:$I$89,3,0)*0.475*44/12</f>
        <v>8.9332430304488728E-5</v>
      </c>
      <c r="BS59" s="22">
        <f t="shared" si="9"/>
        <v>132.84237290585989</v>
      </c>
      <c r="BT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7" t="e">
        <f t="shared" si="11"/>
        <v>#NUM!</v>
      </c>
      <c r="CD59" s="57">
        <f ca="1">AVERAGE(OFFSET($CC$3,0,0,'Données projet'!$E$12+1,1))-AVERAGE(OFFSET($H$3,0,0,'Données projet'!$E$12+1,1))</f>
        <v>187.80389738728508</v>
      </c>
      <c r="CE59" s="57">
        <f t="shared" si="40"/>
        <v>439.28159165815265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73.803907614198806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1.5064931517290447E-4</v>
      </c>
      <c r="CN59" s="22">
        <f t="shared" si="12"/>
        <v>73.80405826351398</v>
      </c>
      <c r="CO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7.6</v>
      </c>
      <c r="CT59" s="12">
        <f>IF('Données projet'!$A$140&gt;35,CT58+CS59-DB58,IF(A59&lt;'Données projet'!$A$140,$CQ$205^A59,IF(A59='Données projet'!$A$140,'Données projet'!$B$140,CT58+CS59-DB58)))</f>
        <v>183.6</v>
      </c>
      <c r="CU59" s="17">
        <f>CT59*VLOOKUP('Données projet'!$B$13,Paramètres!$A$1:$I$89,3,0)*VLOOKUP('Données projet'!$B$13,Paramètres!$A$1:$I$89,5,0)</f>
        <v>166.12127999999998</v>
      </c>
      <c r="CV59" s="13">
        <f t="shared" si="41"/>
        <v>42.220155874487318</v>
      </c>
      <c r="CW59" s="20">
        <f t="shared" si="13"/>
        <v>362.8613341480654</v>
      </c>
      <c r="CX59" s="57">
        <f t="shared" si="14"/>
        <v>656.19466748139871</v>
      </c>
      <c r="CY59" s="57">
        <f ca="1">AVERAGE(OFFSET($CX$3,0,0,'Données projet'!$E$13+1,1))-AVERAGE(OFFSET($H$3,0,0,'Données projet'!$E$13+1,1))</f>
        <v>364.3481978218424</v>
      </c>
      <c r="CZ59" s="57">
        <f t="shared" si="42"/>
        <v>231.36959598460686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36.677299076967081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36.677299076967081</v>
      </c>
      <c r="DJ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255.00000000000006</v>
      </c>
      <c r="DP59" s="17">
        <f>DO59*VLOOKUP('Données projet'!$B$14,Paramètres!$A$1:$I$89,3,0)*VLOOKUP('Données projet'!$B$14,Paramètres!$A$1:$I$89,5,0)</f>
        <v>186.96600000000004</v>
      </c>
      <c r="DQ59" s="13">
        <f t="shared" si="43"/>
        <v>46.868551400324648</v>
      </c>
      <c r="DR59" s="20">
        <f t="shared" si="16"/>
        <v>407.26184368889881</v>
      </c>
      <c r="DS59" s="57">
        <f t="shared" si="17"/>
        <v>700.59517702223206</v>
      </c>
      <c r="DT59" s="57">
        <f ca="1">AVERAGE(OFFSET($DS$3,0,0,'Données projet'!$E$14+1,1))-AVERAGE(OFFSET($H$3,0,0,'Données projet'!$E$14+1,1))</f>
        <v>239.25212250019609</v>
      </c>
      <c r="DU59" s="57">
        <f t="shared" si="44"/>
        <v>213.58492101729695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10.8</v>
      </c>
      <c r="EJ59" s="12">
        <f>IF('Données projet'!$A$192&gt;35,EJ58+EI59-ER58,IF(A59&lt;'Données projet'!$A$192,$EG$205^A59,IF(A59='Données projet'!$A$192,'Données projet'!$B$192,EJ58+EI59-ER58)))</f>
        <v>226.80000000000004</v>
      </c>
      <c r="EK59" s="17">
        <f>EJ59*VLOOKUP('Données projet'!$B$15,Paramètres!$A$1:$I$89,3,0)*VLOOKUP('Données projet'!$B$15,Paramètres!$A$1:$I$89,5,0)</f>
        <v>194.59440000000006</v>
      </c>
      <c r="EL59" s="13">
        <f t="shared" si="45"/>
        <v>48.554292648263456</v>
      </c>
      <c r="EM59" s="20">
        <f t="shared" si="19"/>
        <v>423.48397302905897</v>
      </c>
      <c r="EN59" s="57">
        <f t="shared" si="20"/>
        <v>716.81730636239229</v>
      </c>
      <c r="EO59" s="57">
        <f ca="1">AVERAGE(OFFSET($EN$3,0,0,'Données projet'!$E$15+1,1))-AVERAGE(OFFSET($H$3,0,0,'Données projet'!$E$15+1,1))</f>
        <v>447.10969593632467</v>
      </c>
      <c r="EP59" s="57">
        <f t="shared" si="46"/>
        <v>256.77417912163997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57.158153867607112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57.158153867607112</v>
      </c>
      <c r="EZ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7" t="e">
        <f t="shared" si="23"/>
        <v>#N/A</v>
      </c>
      <c r="FJ59" s="57" t="e">
        <f ca="1">AVERAGE(OFFSET($FI$3,0,0,'Données projet'!$E$16+1,1))-AVERAGE(OFFSET($H$3,0,0,'Données projet'!$E$16+1,1))</f>
        <v>#N/A</v>
      </c>
      <c r="FK59" s="57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7" t="e">
        <f t="shared" si="26"/>
        <v>#N/A</v>
      </c>
      <c r="GE59" s="57" t="e">
        <f ca="1">AVERAGE(OFFSET($GD$3,0,0,'Données projet'!$E$17+1,1))-AVERAGE(OFFSET($H$3,0,0,'Données projet'!$E$17+1,1))</f>
        <v>#N/A</v>
      </c>
      <c r="GF59" s="57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7" t="e">
        <f t="shared" si="29"/>
        <v>#N/A</v>
      </c>
      <c r="GZ59" s="57" t="e">
        <f ca="1">AVERAGE(OFFSET($GY$3,0,0,'Données projet'!$E$18+1,1))-AVERAGE(OFFSET($H$3,0,0,'Données projet'!$E$18+1,1))</f>
        <v>#N/A</v>
      </c>
      <c r="HA59" s="57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0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4">
        <f t="shared" si="1"/>
        <v>256.66666666666669</v>
      </c>
      <c r="I60" s="6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7">
        <f t="shared" si="0"/>
        <v>1055.8673621116311</v>
      </c>
      <c r="S60" s="57">
        <f ca="1">AVERAGE(OFFSET($R$3,0,0,'Données projet'!$E$9+1,1))-AVERAGE(OFFSET($H$3,0,0,'Données projet'!$E$9+1,1))</f>
        <v>443.34220761968419</v>
      </c>
      <c r="T60" s="57">
        <f t="shared" si="34"/>
        <v>546.58234447298014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91.161282227970929</v>
      </c>
      <c r="AA60" s="21">
        <f>EXP(-LN(2)/25)*AA59+(1-EXP(-LN(2)/25))/(LN(2)/25)*Calculateur!V60*Calculateur!X60*VLOOKUP('Données projet'!$B$9,Paramètres!$A$1:$I$89,3,0)*0.475*44/12</f>
        <v>10.376977144200689</v>
      </c>
      <c r="AB60" s="21">
        <f>EXP(-LN(2)/2)*AB59+(1-EXP(-LN(2)/2))/(LN(2)/2)*V60*Y60*VLOOKUP('Données projet'!$B$9,Paramètres!$A$1:$I$89,3,0)*0.475*44/12</f>
        <v>5.2150824177755605E-4</v>
      </c>
      <c r="AC60" s="22">
        <f t="shared" si="3"/>
        <v>101.5387808804134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24</v>
      </c>
      <c r="AI60" s="13">
        <f>IF('Données projet'!$A$62&gt;35,AI59+AH60-AQ59,IF(A60&lt;'Données projet'!$A$62,$AF$205^A60,IF(A60='Données projet'!$A$62,'Données projet'!$B$62,AI59+AH60-AQ59)))</f>
        <v>725.99999999999955</v>
      </c>
      <c r="AJ60" s="13">
        <f>AI60*VLOOKUP('Données projet'!$B$10,Paramètres!$A$1:$I$89,3,0)*VLOOKUP('Données projet'!$B$10,Paramètres!$A$1:$I$89,5,0)</f>
        <v>339.7679999999998</v>
      </c>
      <c r="AK60" s="13">
        <f t="shared" si="35"/>
        <v>79.452011848891914</v>
      </c>
      <c r="AL60" s="20">
        <f t="shared" si="4"/>
        <v>730.14152063681979</v>
      </c>
      <c r="AM60" s="57">
        <f t="shared" si="5"/>
        <v>1023.4748539701532</v>
      </c>
      <c r="AN60" s="57">
        <f ca="1">AVERAGE(OFFSET($AM$3,0,0,'Données projet'!$E$10+1,1))-AVERAGE(OFFSET($H$3,0,0,'Données projet'!$E$10+1,1))</f>
        <v>524.3999528951972</v>
      </c>
      <c r="AO60" s="57">
        <f t="shared" si="36"/>
        <v>459.3547783500515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108.10820537382874</v>
      </c>
      <c r="AV60" s="21">
        <f>EXP(-LN(2)/25)*AV59+(1-EXP(-LN(2)/25))/(LN(2)/25)*Calculateur!AQ60*Calculateur!AS60*VLOOKUP('Données projet'!$B$10,Paramètres!$A$1:$I$89,3,0)*0.475*44/12</f>
        <v>25.278999645910535</v>
      </c>
      <c r="AW60" s="21">
        <f>EXP(-LN(2)/2)*AW59+(1-EXP(-LN(2)/2))/(LN(2)/2)*AQ60*AT60*VLOOKUP('Données projet'!$B$10,Paramètres!$A$1:$I$89,3,0)*0.475*44/12</f>
        <v>1.0291032954574416E-4</v>
      </c>
      <c r="AX60" s="21">
        <f t="shared" si="6"/>
        <v>133.38730793006883</v>
      </c>
      <c r="AY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23.8</v>
      </c>
      <c r="BD60" s="12">
        <f>IF('Données projet'!$A$88&gt;35,BD59+BC60-BL59,IF(A60&lt;'Données projet'!$A$88,$BA$205^A60,IF(A60='Données projet'!$A$88,'Données projet'!$B$88,BD59+BC60-BL59)))</f>
        <v>668.60000000000025</v>
      </c>
      <c r="BE60" s="13">
        <f>BD60*VLOOKUP('Données projet'!$B$11,Paramètres!$A$1:$I$89,3,0)*VLOOKUP('Données projet'!$B$11,Paramètres!$A$1:$I$89,5,0)</f>
        <v>321.59660000000014</v>
      </c>
      <c r="BF60" s="13">
        <f t="shared" si="37"/>
        <v>75.685461055982486</v>
      </c>
      <c r="BG60" s="20">
        <f t="shared" si="7"/>
        <v>691.93292300583641</v>
      </c>
      <c r="BH60" s="57">
        <f t="shared" si="8"/>
        <v>985.26625633916979</v>
      </c>
      <c r="BI60" s="57">
        <f ca="1">AVERAGE(OFFSET($BH$3,0,0,'Données projet'!$E$11+1,1))-AVERAGE(OFFSET($H$3,0,0,'Données projet'!$E$11+1,1))</f>
        <v>495.6473104257044</v>
      </c>
      <c r="BJ60" s="57">
        <f t="shared" si="38"/>
        <v>430.92527296485201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106.23182007196527</v>
      </c>
      <c r="BQ60" s="21">
        <f>EXP(-LN(2)/25)*BQ59+(1-EXP(-LN(2)/25))/(LN(2)/25)*Calculateur!BL60*Calculateur!BN60*VLOOKUP('Données projet'!$B$11,Paramètres!$A$1:$I$89,3,0)*0.475*44/12</f>
        <v>23.816094573809227</v>
      </c>
      <c r="BR60" s="21">
        <f>EXP(-LN(2)/2)*BR59+(1-EXP(-LN(2)/2))/(LN(2)/2)*BL60*BO60*VLOOKUP('Données projet'!$B$11,Paramètres!$A$1:$I$89,3,0)*0.475*44/12</f>
        <v>6.3167567248178618E-5</v>
      </c>
      <c r="BS60" s="22">
        <f t="shared" si="9"/>
        <v>130.04797781334176</v>
      </c>
      <c r="BT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7" t="e">
        <f t="shared" si="11"/>
        <v>#NUM!</v>
      </c>
      <c r="CD60" s="57">
        <f ca="1">AVERAGE(OFFSET($CC$3,0,0,'Données projet'!$E$12+1,1))-AVERAGE(OFFSET($H$3,0,0,'Données projet'!$E$12+1,1))</f>
        <v>187.80389738728508</v>
      </c>
      <c r="CE60" s="57">
        <f t="shared" si="40"/>
        <v>439.28159165815265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72.356658001823064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1.065251523398702E-4</v>
      </c>
      <c r="CN60" s="22">
        <f t="shared" si="12"/>
        <v>72.356764526975397</v>
      </c>
      <c r="CO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7.6</v>
      </c>
      <c r="CT60" s="12">
        <f>IF('Données projet'!$A$140&gt;35,CT59+CS60-DB59,IF(A60&lt;'Données projet'!$A$140,$CQ$205^A60,IF(A60='Données projet'!$A$140,'Données projet'!$B$140,CT59+CS60-DB59)))</f>
        <v>191.2</v>
      </c>
      <c r="CU60" s="17">
        <f>CT60*VLOOKUP('Données projet'!$B$13,Paramètres!$A$1:$I$89,3,0)*VLOOKUP('Données projet'!$B$13,Paramètres!$A$1:$I$89,5,0)</f>
        <v>172.99775999999997</v>
      </c>
      <c r="CV60" s="13">
        <f t="shared" si="41"/>
        <v>43.760737531919609</v>
      </c>
      <c r="CW60" s="20">
        <f t="shared" si="13"/>
        <v>377.52104986809326</v>
      </c>
      <c r="CX60" s="57">
        <f t="shared" si="14"/>
        <v>670.85438320142657</v>
      </c>
      <c r="CY60" s="57">
        <f ca="1">AVERAGE(OFFSET($CX$3,0,0,'Données projet'!$E$13+1,1))-AVERAGE(OFFSET($H$3,0,0,'Données projet'!$E$13+1,1))</f>
        <v>364.3481978218424</v>
      </c>
      <c r="CZ60" s="57">
        <f t="shared" si="42"/>
        <v>231.36959598460686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35.958079613011243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35.958079613011243</v>
      </c>
      <c r="DJ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255.00000000000006</v>
      </c>
      <c r="DP60" s="17">
        <f>DO60*VLOOKUP('Données projet'!$B$14,Paramètres!$A$1:$I$89,3,0)*VLOOKUP('Données projet'!$B$14,Paramètres!$A$1:$I$89,5,0)</f>
        <v>186.96600000000004</v>
      </c>
      <c r="DQ60" s="13">
        <f t="shared" si="43"/>
        <v>46.868551400324648</v>
      </c>
      <c r="DR60" s="20">
        <f t="shared" si="16"/>
        <v>407.26184368889881</v>
      </c>
      <c r="DS60" s="57">
        <f t="shared" si="17"/>
        <v>700.59517702223206</v>
      </c>
      <c r="DT60" s="57">
        <f ca="1">AVERAGE(OFFSET($DS$3,0,0,'Données projet'!$E$14+1,1))-AVERAGE(OFFSET($H$3,0,0,'Données projet'!$E$14+1,1))</f>
        <v>239.25212250019609</v>
      </c>
      <c r="DU60" s="57">
        <f t="shared" si="44"/>
        <v>213.58492101729695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10.8</v>
      </c>
      <c r="EJ60" s="12">
        <f>IF('Données projet'!$A$192&gt;35,EJ59+EI60-ER59,IF(A60&lt;'Données projet'!$A$192,$EG$205^A60,IF(A60='Données projet'!$A$192,'Données projet'!$B$192,EJ59+EI60-ER59)))</f>
        <v>237.60000000000005</v>
      </c>
      <c r="EK60" s="17">
        <f>EJ60*VLOOKUP('Données projet'!$B$15,Paramètres!$A$1:$I$89,3,0)*VLOOKUP('Données projet'!$B$15,Paramètres!$A$1:$I$89,5,0)</f>
        <v>203.86080000000007</v>
      </c>
      <c r="EL60" s="13">
        <f t="shared" si="45"/>
        <v>50.591708220421786</v>
      </c>
      <c r="EM60" s="20">
        <f t="shared" si="19"/>
        <v>443.17145181723475</v>
      </c>
      <c r="EN60" s="57">
        <f t="shared" si="20"/>
        <v>736.50478515056807</v>
      </c>
      <c r="EO60" s="57">
        <f ca="1">AVERAGE(OFFSET($EN$3,0,0,'Données projet'!$E$15+1,1))-AVERAGE(OFFSET($H$3,0,0,'Données projet'!$E$15+1,1))</f>
        <v>447.10969593632467</v>
      </c>
      <c r="EP60" s="57">
        <f t="shared" si="46"/>
        <v>256.77417912163997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56.037317333294759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56.037317333294759</v>
      </c>
      <c r="EZ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7" t="e">
        <f t="shared" si="23"/>
        <v>#N/A</v>
      </c>
      <c r="FJ60" s="57" t="e">
        <f ca="1">AVERAGE(OFFSET($FI$3,0,0,'Données projet'!$E$16+1,1))-AVERAGE(OFFSET($H$3,0,0,'Données projet'!$E$16+1,1))</f>
        <v>#N/A</v>
      </c>
      <c r="FK60" s="57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7" t="e">
        <f t="shared" si="26"/>
        <v>#N/A</v>
      </c>
      <c r="GE60" s="57" t="e">
        <f ca="1">AVERAGE(OFFSET($GD$3,0,0,'Données projet'!$E$17+1,1))-AVERAGE(OFFSET($H$3,0,0,'Données projet'!$E$17+1,1))</f>
        <v>#N/A</v>
      </c>
      <c r="GF60" s="57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7" t="e">
        <f t="shared" si="29"/>
        <v>#N/A</v>
      </c>
      <c r="GZ60" s="57" t="e">
        <f ca="1">AVERAGE(OFFSET($GY$3,0,0,'Données projet'!$E$18+1,1))-AVERAGE(OFFSET($H$3,0,0,'Données projet'!$E$18+1,1))</f>
        <v>#N/A</v>
      </c>
      <c r="HA60" s="57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0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4">
        <f t="shared" si="1"/>
        <v>256.66666666666669</v>
      </c>
      <c r="I61" s="6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7">
        <f t="shared" si="0"/>
        <v>1067.8374225237983</v>
      </c>
      <c r="S61" s="57">
        <f ca="1">AVERAGE(OFFSET($R$3,0,0,'Données projet'!$E$9+1,1))-AVERAGE(OFFSET($H$3,0,0,'Données projet'!$E$9+1,1))</f>
        <v>443.34220761968419</v>
      </c>
      <c r="T61" s="57">
        <f t="shared" si="34"/>
        <v>546.58234447298014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89.373665086372242</v>
      </c>
      <c r="AA61" s="21">
        <f>EXP(-LN(2)/25)*AA60+(1-EXP(-LN(2)/25))/(LN(2)/25)*Calculateur!V61*Calculateur!X61*VLOOKUP('Données projet'!$B$9,Paramètres!$A$1:$I$89,3,0)*0.475*44/12</f>
        <v>10.093218158491009</v>
      </c>
      <c r="AB61" s="21">
        <f>EXP(-LN(2)/2)*AB60+(1-EXP(-LN(2)/2))/(LN(2)/2)*V61*Y61*VLOOKUP('Données projet'!$B$9,Paramètres!$A$1:$I$89,3,0)*0.475*44/12</f>
        <v>3.6876201420558345E-4</v>
      </c>
      <c r="AC61" s="22">
        <f t="shared" si="3"/>
        <v>99.467252006877459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24</v>
      </c>
      <c r="AI61" s="13">
        <f>IF('Données projet'!$A$62&gt;35,AI60+AH61-AQ60,IF(A61&lt;'Données projet'!$A$62,$AF$205^A61,IF(A61='Données projet'!$A$62,'Données projet'!$B$62,AI60+AH61-AQ60)))</f>
        <v>749.99999999999955</v>
      </c>
      <c r="AJ61" s="13">
        <f>AI61*VLOOKUP('Données projet'!$B$10,Paramètres!$A$1:$I$89,3,0)*VLOOKUP('Données projet'!$B$10,Paramètres!$A$1:$I$89,5,0)</f>
        <v>350.99999999999977</v>
      </c>
      <c r="AK61" s="13">
        <f t="shared" si="35"/>
        <v>81.768387419963787</v>
      </c>
      <c r="AL61" s="20">
        <f t="shared" si="4"/>
        <v>753.73827475643657</v>
      </c>
      <c r="AM61" s="57">
        <f t="shared" si="5"/>
        <v>1047.0716080897698</v>
      </c>
      <c r="AN61" s="57">
        <f ca="1">AVERAGE(OFFSET($AM$3,0,0,'Données projet'!$E$10+1,1))-AVERAGE(OFFSET($H$3,0,0,'Données projet'!$E$10+1,1))</f>
        <v>524.3999528951972</v>
      </c>
      <c r="AO61" s="57">
        <f t="shared" si="36"/>
        <v>459.3547783500515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105.98826940594225</v>
      </c>
      <c r="AV61" s="21">
        <f>EXP(-LN(2)/25)*AV60+(1-EXP(-LN(2)/25))/(LN(2)/25)*Calculateur!AQ61*Calculateur!AS61*VLOOKUP('Données projet'!$B$10,Paramètres!$A$1:$I$89,3,0)*0.475*44/12</f>
        <v>24.587744071228297</v>
      </c>
      <c r="AW61" s="21">
        <f>EXP(-LN(2)/2)*AW60+(1-EXP(-LN(2)/2))/(LN(2)/2)*AQ61*AT61*VLOOKUP('Données projet'!$B$10,Paramètres!$A$1:$I$89,3,0)*0.475*44/12</f>
        <v>7.2768591875938009E-5</v>
      </c>
      <c r="AX61" s="21">
        <f t="shared" si="6"/>
        <v>130.57608624576241</v>
      </c>
      <c r="AY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23.8</v>
      </c>
      <c r="BD61" s="12">
        <f>IF('Données projet'!$A$88&gt;35,BD60+BC61-BL60,IF(A61&lt;'Données projet'!$A$88,$BA$205^A61,IF(A61='Données projet'!$A$88,'Données projet'!$B$88,BD60+BC61-BL60)))</f>
        <v>692.4000000000002</v>
      </c>
      <c r="BE61" s="13">
        <f>BD61*VLOOKUP('Données projet'!$B$11,Paramètres!$A$1:$I$89,3,0)*VLOOKUP('Données projet'!$B$11,Paramètres!$A$1:$I$89,5,0)</f>
        <v>333.04440000000005</v>
      </c>
      <c r="BF61" s="13">
        <f t="shared" si="37"/>
        <v>78.061151227538204</v>
      </c>
      <c r="BG61" s="20">
        <f t="shared" si="7"/>
        <v>716.008835054629</v>
      </c>
      <c r="BH61" s="57">
        <f t="shared" si="8"/>
        <v>1009.3421683879624</v>
      </c>
      <c r="BI61" s="57">
        <f ca="1">AVERAGE(OFFSET($BH$3,0,0,'Données projet'!$E$11+1,1))-AVERAGE(OFFSET($H$3,0,0,'Données projet'!$E$11+1,1))</f>
        <v>495.6473104257044</v>
      </c>
      <c r="BJ61" s="57">
        <f t="shared" si="38"/>
        <v>430.92527296485201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104.1486788753663</v>
      </c>
      <c r="BQ61" s="21">
        <f>EXP(-LN(2)/25)*BQ60+(1-EXP(-LN(2)/25))/(LN(2)/25)*Calculateur!BL61*Calculateur!BN61*VLOOKUP('Données projet'!$B$11,Paramètres!$A$1:$I$89,3,0)*0.475*44/12</f>
        <v>23.164842215254431</v>
      </c>
      <c r="BR61" s="21">
        <f>EXP(-LN(2)/2)*BR60+(1-EXP(-LN(2)/2))/(LN(2)/2)*BL61*BO61*VLOOKUP('Données projet'!$B$11,Paramètres!$A$1:$I$89,3,0)*0.475*44/12</f>
        <v>4.4666215152244364E-5</v>
      </c>
      <c r="BS61" s="22">
        <f t="shared" si="9"/>
        <v>127.31356575683587</v>
      </c>
      <c r="BT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7" t="e">
        <f t="shared" si="11"/>
        <v>#NUM!</v>
      </c>
      <c r="CD61" s="57">
        <f ca="1">AVERAGE(OFFSET($CC$3,0,0,'Données projet'!$E$12+1,1))-AVERAGE(OFFSET($H$3,0,0,'Données projet'!$E$12+1,1))</f>
        <v>187.80389738728508</v>
      </c>
      <c r="CE61" s="57">
        <f t="shared" si="40"/>
        <v>439.28159165815265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70.937788071610896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7.5324657586452236E-5</v>
      </c>
      <c r="CN61" s="22">
        <f t="shared" si="12"/>
        <v>70.937863396268483</v>
      </c>
      <c r="CO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7.6</v>
      </c>
      <c r="CT61" s="12">
        <f>IF('Données projet'!$A$140&gt;35,CT60+CS61-DB60,IF(A61&lt;'Données projet'!$A$140,$CQ$205^A61,IF(A61='Données projet'!$A$140,'Données projet'!$B$140,CT60+CS61-DB60)))</f>
        <v>198.79999999999998</v>
      </c>
      <c r="CU61" s="17">
        <f>CT61*VLOOKUP('Données projet'!$B$13,Paramètres!$A$1:$I$89,3,0)*VLOOKUP('Données projet'!$B$13,Paramètres!$A$1:$I$89,5,0)</f>
        <v>179.87423999999999</v>
      </c>
      <c r="CV61" s="13">
        <f t="shared" si="41"/>
        <v>45.294205745553846</v>
      </c>
      <c r="CW61" s="20">
        <f t="shared" si="13"/>
        <v>392.16837634017293</v>
      </c>
      <c r="CX61" s="57">
        <f t="shared" si="14"/>
        <v>685.50170967350618</v>
      </c>
      <c r="CY61" s="57">
        <f ca="1">AVERAGE(OFFSET($CX$3,0,0,'Données projet'!$E$13+1,1))-AVERAGE(OFFSET($H$3,0,0,'Données projet'!$E$13+1,1))</f>
        <v>364.3481978218424</v>
      </c>
      <c r="CZ61" s="57">
        <f t="shared" si="42"/>
        <v>231.36959598460686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35.252963604063027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35.252963604063027</v>
      </c>
      <c r="DJ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255.00000000000006</v>
      </c>
      <c r="DP61" s="17">
        <f>DO61*VLOOKUP('Données projet'!$B$14,Paramètres!$A$1:$I$89,3,0)*VLOOKUP('Données projet'!$B$14,Paramètres!$A$1:$I$89,5,0)</f>
        <v>186.96600000000004</v>
      </c>
      <c r="DQ61" s="13">
        <f t="shared" si="43"/>
        <v>46.868551400324648</v>
      </c>
      <c r="DR61" s="20">
        <f t="shared" si="16"/>
        <v>407.26184368889881</v>
      </c>
      <c r="DS61" s="57">
        <f t="shared" si="17"/>
        <v>700.59517702223206</v>
      </c>
      <c r="DT61" s="57">
        <f ca="1">AVERAGE(OFFSET($DS$3,0,0,'Données projet'!$E$14+1,1))-AVERAGE(OFFSET($H$3,0,0,'Données projet'!$E$14+1,1))</f>
        <v>239.25212250019609</v>
      </c>
      <c r="DU61" s="57">
        <f t="shared" si="44"/>
        <v>213.58492101729695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10.8</v>
      </c>
      <c r="EJ61" s="12">
        <f>IF('Données projet'!$A$192&gt;35,EJ60+EI61-ER60,IF(A61&lt;'Données projet'!$A$192,$EG$205^A61,IF(A61='Données projet'!$A$192,'Données projet'!$B$192,EJ60+EI61-ER60)))</f>
        <v>248.40000000000006</v>
      </c>
      <c r="EK61" s="17">
        <f>EJ61*VLOOKUP('Données projet'!$B$15,Paramètres!$A$1:$I$89,3,0)*VLOOKUP('Données projet'!$B$15,Paramètres!$A$1:$I$89,5,0)</f>
        <v>213.12720000000004</v>
      </c>
      <c r="EL61" s="13">
        <f t="shared" si="45"/>
        <v>52.618368568459893</v>
      </c>
      <c r="EM61" s="20">
        <f t="shared" si="19"/>
        <v>462.8401985900677</v>
      </c>
      <c r="EN61" s="57">
        <f t="shared" si="20"/>
        <v>756.17353192340101</v>
      </c>
      <c r="EO61" s="57">
        <f ca="1">AVERAGE(OFFSET($EN$3,0,0,'Données projet'!$E$15+1,1))-AVERAGE(OFFSET($H$3,0,0,'Données projet'!$E$15+1,1))</f>
        <v>447.10969593632467</v>
      </c>
      <c r="EP61" s="57">
        <f t="shared" si="46"/>
        <v>256.77417912163997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54.938459719777491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54.938459719777491</v>
      </c>
      <c r="EZ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7" t="e">
        <f t="shared" si="23"/>
        <v>#N/A</v>
      </c>
      <c r="FJ61" s="57" t="e">
        <f ca="1">AVERAGE(OFFSET($FI$3,0,0,'Données projet'!$E$16+1,1))-AVERAGE(OFFSET($H$3,0,0,'Données projet'!$E$16+1,1))</f>
        <v>#N/A</v>
      </c>
      <c r="FK61" s="57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7" t="e">
        <f t="shared" si="26"/>
        <v>#N/A</v>
      </c>
      <c r="GE61" s="57" t="e">
        <f ca="1">AVERAGE(OFFSET($GD$3,0,0,'Données projet'!$E$17+1,1))-AVERAGE(OFFSET($H$3,0,0,'Données projet'!$E$17+1,1))</f>
        <v>#N/A</v>
      </c>
      <c r="GF61" s="57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7" t="e">
        <f t="shared" si="29"/>
        <v>#N/A</v>
      </c>
      <c r="GZ61" s="57" t="e">
        <f ca="1">AVERAGE(OFFSET($GY$3,0,0,'Données projet'!$E$18+1,1))-AVERAGE(OFFSET($H$3,0,0,'Données projet'!$E$18+1,1))</f>
        <v>#N/A</v>
      </c>
      <c r="HA61" s="57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0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4">
        <f t="shared" si="1"/>
        <v>256.66666666666669</v>
      </c>
      <c r="I62" s="6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7">
        <f t="shared" si="0"/>
        <v>1079.8037356461705</v>
      </c>
      <c r="S62" s="57">
        <f ca="1">AVERAGE(OFFSET($R$3,0,0,'Données projet'!$E$9+1,1))-AVERAGE(OFFSET($H$3,0,0,'Données projet'!$E$9+1,1))</f>
        <v>443.34220761968419</v>
      </c>
      <c r="T62" s="57">
        <f t="shared" si="34"/>
        <v>546.58234447298014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87.621102026581511</v>
      </c>
      <c r="AA62" s="21">
        <f>EXP(-LN(2)/25)*AA61+(1-EXP(-LN(2)/25))/(LN(2)/25)*Calculateur!V62*Calculateur!X62*VLOOKUP('Données projet'!$B$9,Paramètres!$A$1:$I$89,3,0)*0.475*44/12</f>
        <v>9.8172185771677984</v>
      </c>
      <c r="AB62" s="21">
        <f>EXP(-LN(2)/2)*AB61+(1-EXP(-LN(2)/2))/(LN(2)/2)*V62*Y62*VLOOKUP('Données projet'!$B$9,Paramètres!$A$1:$I$89,3,0)*0.475*44/12</f>
        <v>2.6075412088877802E-4</v>
      </c>
      <c r="AC62" s="22">
        <f t="shared" si="3"/>
        <v>97.438581357870191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24</v>
      </c>
      <c r="AI62" s="13">
        <f>IF('Données projet'!$A$62&gt;35,AI61+AH62-AQ61,IF(A62&lt;'Données projet'!$A$62,$AF$205^A62,IF(A62='Données projet'!$A$62,'Données projet'!$B$62,AI61+AH62-AQ61)))</f>
        <v>773.99999999999955</v>
      </c>
      <c r="AJ62" s="13">
        <f>AI62*VLOOKUP('Données projet'!$B$10,Paramètres!$A$1:$I$89,3,0)*VLOOKUP('Données projet'!$B$10,Paramètres!$A$1:$I$89,5,0)</f>
        <v>362.2319999999998</v>
      </c>
      <c r="AK62" s="13">
        <f t="shared" si="35"/>
        <v>84.076149451138846</v>
      </c>
      <c r="AL62" s="20">
        <f t="shared" si="4"/>
        <v>777.32002696073312</v>
      </c>
      <c r="AM62" s="57">
        <f t="shared" si="5"/>
        <v>1070.6533602940665</v>
      </c>
      <c r="AN62" s="57">
        <f ca="1">AVERAGE(OFFSET($AM$3,0,0,'Données projet'!$E$10+1,1))-AVERAGE(OFFSET($H$3,0,0,'Données projet'!$E$10+1,1))</f>
        <v>524.3999528951972</v>
      </c>
      <c r="AO62" s="57">
        <f t="shared" si="36"/>
        <v>459.3547783500515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103.90990408935275</v>
      </c>
      <c r="AV62" s="21">
        <f>EXP(-LN(2)/25)*AV61+(1-EXP(-LN(2)/25))/(LN(2)/25)*Calculateur!AQ62*Calculateur!AS62*VLOOKUP('Données projet'!$B$10,Paramètres!$A$1:$I$89,3,0)*0.475*44/12</f>
        <v>23.915390916587295</v>
      </c>
      <c r="AW62" s="21">
        <f>EXP(-LN(2)/2)*AW61+(1-EXP(-LN(2)/2))/(LN(2)/2)*AQ62*AT62*VLOOKUP('Données projet'!$B$10,Paramètres!$A$1:$I$89,3,0)*0.475*44/12</f>
        <v>5.1455164772872078E-5</v>
      </c>
      <c r="AX62" s="21">
        <f t="shared" si="6"/>
        <v>127.82534646110483</v>
      </c>
      <c r="AY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23.8</v>
      </c>
      <c r="BD62" s="12">
        <f>IF('Données projet'!$A$88&gt;35,BD61+BC62-BL61,IF(A62&lt;'Données projet'!$A$88,$BA$205^A62,IF(A62='Données projet'!$A$88,'Données projet'!$B$88,BD61+BC62-BL61)))</f>
        <v>716.20000000000016</v>
      </c>
      <c r="BE62" s="13">
        <f>BD62*VLOOKUP('Données projet'!$B$11,Paramètres!$A$1:$I$89,3,0)*VLOOKUP('Données projet'!$B$11,Paramètres!$A$1:$I$89,5,0)</f>
        <v>344.49220000000003</v>
      </c>
      <c r="BF62" s="13">
        <f t="shared" si="37"/>
        <v>80.427353184320381</v>
      </c>
      <c r="BG62" s="20">
        <f t="shared" si="7"/>
        <v>740.06822179602466</v>
      </c>
      <c r="BH62" s="57">
        <f t="shared" si="8"/>
        <v>1033.401555129358</v>
      </c>
      <c r="BI62" s="57">
        <f ca="1">AVERAGE(OFFSET($BH$3,0,0,'Données projet'!$E$11+1,1))-AVERAGE(OFFSET($H$3,0,0,'Données projet'!$E$11+1,1))</f>
        <v>495.6473104257044</v>
      </c>
      <c r="BJ62" s="57">
        <f t="shared" si="38"/>
        <v>430.92527296485201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102.10638680704197</v>
      </c>
      <c r="BQ62" s="21">
        <f>EXP(-LN(2)/25)*BQ61+(1-EXP(-LN(2)/25))/(LN(2)/25)*Calculateur!BL62*Calculateur!BN62*VLOOKUP('Données projet'!$B$11,Paramètres!$A$1:$I$89,3,0)*0.475*44/12</f>
        <v>22.531398386692192</v>
      </c>
      <c r="BR62" s="21">
        <f>EXP(-LN(2)/2)*BR61+(1-EXP(-LN(2)/2))/(LN(2)/2)*BL62*BO62*VLOOKUP('Données projet'!$B$11,Paramètres!$A$1:$I$89,3,0)*0.475*44/12</f>
        <v>3.1583783624089309E-5</v>
      </c>
      <c r="BS62" s="22">
        <f t="shared" si="9"/>
        <v>124.63781677751778</v>
      </c>
      <c r="BT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7" t="e">
        <f t="shared" si="11"/>
        <v>#NUM!</v>
      </c>
      <c r="CD62" s="57">
        <f ca="1">AVERAGE(OFFSET($CC$3,0,0,'Données projet'!$E$12+1,1))-AVERAGE(OFFSET($H$3,0,0,'Données projet'!$E$12+1,1))</f>
        <v>187.80389738728508</v>
      </c>
      <c r="CE62" s="57">
        <f t="shared" si="40"/>
        <v>439.28159165815265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69.546741315304999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5.3262576169935099E-5</v>
      </c>
      <c r="CN62" s="22">
        <f t="shared" si="12"/>
        <v>69.546794577881172</v>
      </c>
      <c r="CO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7.6</v>
      </c>
      <c r="CT62" s="12">
        <f>IF('Données projet'!$A$140&gt;35,CT61+CS62-DB61,IF(A62&lt;'Données projet'!$A$140,$CQ$205^A62,IF(A62='Données projet'!$A$140,'Données projet'!$B$140,CT61+CS62-DB61)))</f>
        <v>206.39999999999998</v>
      </c>
      <c r="CU62" s="17">
        <f>CT62*VLOOKUP('Données projet'!$B$13,Paramètres!$A$1:$I$89,3,0)*VLOOKUP('Données projet'!$B$13,Paramètres!$A$1:$I$89,5,0)</f>
        <v>186.75071999999997</v>
      </c>
      <c r="CV62" s="13">
        <f t="shared" si="41"/>
        <v>46.820863587839391</v>
      </c>
      <c r="CW62" s="20">
        <f t="shared" si="13"/>
        <v>406.80384141548689</v>
      </c>
      <c r="CX62" s="57">
        <f t="shared" si="14"/>
        <v>700.13717474882014</v>
      </c>
      <c r="CY62" s="57">
        <f ca="1">AVERAGE(OFFSET($CX$3,0,0,'Données projet'!$E$13+1,1))-AVERAGE(OFFSET($H$3,0,0,'Données projet'!$E$13+1,1))</f>
        <v>364.3481978218424</v>
      </c>
      <c r="CZ62" s="57">
        <f t="shared" si="42"/>
        <v>231.36959598460686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34.561674489971985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34.561674489971985</v>
      </c>
      <c r="DJ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255.00000000000006</v>
      </c>
      <c r="DP62" s="17">
        <f>DO62*VLOOKUP('Données projet'!$B$14,Paramètres!$A$1:$I$89,3,0)*VLOOKUP('Données projet'!$B$14,Paramètres!$A$1:$I$89,5,0)</f>
        <v>186.96600000000004</v>
      </c>
      <c r="DQ62" s="13">
        <f t="shared" si="43"/>
        <v>46.868551400324648</v>
      </c>
      <c r="DR62" s="20">
        <f t="shared" si="16"/>
        <v>407.26184368889881</v>
      </c>
      <c r="DS62" s="57">
        <f t="shared" si="17"/>
        <v>700.59517702223206</v>
      </c>
      <c r="DT62" s="57">
        <f ca="1">AVERAGE(OFFSET($DS$3,0,0,'Données projet'!$E$14+1,1))-AVERAGE(OFFSET($H$3,0,0,'Données projet'!$E$14+1,1))</f>
        <v>239.25212250019609</v>
      </c>
      <c r="DU62" s="57">
        <f t="shared" si="44"/>
        <v>213.58492101729695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10.8</v>
      </c>
      <c r="EJ62" s="12">
        <f>IF('Données projet'!$A$192&gt;35,EJ61+EI62-ER61,IF(A62&lt;'Données projet'!$A$192,$EG$205^A62,IF(A62='Données projet'!$A$192,'Données projet'!$B$192,EJ61+EI62-ER61)))</f>
        <v>259.20000000000005</v>
      </c>
      <c r="EK62" s="17">
        <f>EJ62*VLOOKUP('Données projet'!$B$15,Paramètres!$A$1:$I$89,3,0)*VLOOKUP('Données projet'!$B$15,Paramètres!$A$1:$I$89,5,0)</f>
        <v>222.39360000000005</v>
      </c>
      <c r="EL62" s="13">
        <f t="shared" si="45"/>
        <v>54.634794757949287</v>
      </c>
      <c r="EM62" s="20">
        <f t="shared" si="19"/>
        <v>482.49112087009513</v>
      </c>
      <c r="EN62" s="57">
        <f t="shared" si="20"/>
        <v>775.82445420342844</v>
      </c>
      <c r="EO62" s="57">
        <f ca="1">AVERAGE(OFFSET($EN$3,0,0,'Données projet'!$E$15+1,1))-AVERAGE(OFFSET($H$3,0,0,'Données projet'!$E$15+1,1))</f>
        <v>447.10969593632467</v>
      </c>
      <c r="EP62" s="57">
        <f t="shared" si="46"/>
        <v>256.77417912163997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53.86115003382433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53.86115003382433</v>
      </c>
      <c r="EZ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7" t="e">
        <f t="shared" si="23"/>
        <v>#N/A</v>
      </c>
      <c r="FJ62" s="57" t="e">
        <f ca="1">AVERAGE(OFFSET($FI$3,0,0,'Données projet'!$E$16+1,1))-AVERAGE(OFFSET($H$3,0,0,'Données projet'!$E$16+1,1))</f>
        <v>#N/A</v>
      </c>
      <c r="FK62" s="57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7" t="e">
        <f t="shared" si="26"/>
        <v>#N/A</v>
      </c>
      <c r="GE62" s="57" t="e">
        <f ca="1">AVERAGE(OFFSET($GD$3,0,0,'Données projet'!$E$17+1,1))-AVERAGE(OFFSET($H$3,0,0,'Données projet'!$E$17+1,1))</f>
        <v>#N/A</v>
      </c>
      <c r="GF62" s="57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7" t="e">
        <f t="shared" si="29"/>
        <v>#N/A</v>
      </c>
      <c r="GZ62" s="57" t="e">
        <f ca="1">AVERAGE(OFFSET($GY$3,0,0,'Données projet'!$E$18+1,1))-AVERAGE(OFFSET($H$3,0,0,'Données projet'!$E$18+1,1))</f>
        <v>#N/A</v>
      </c>
      <c r="HA62" s="57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0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4">
        <f t="shared" si="1"/>
        <v>256.66666666666669</v>
      </c>
      <c r="I63" s="6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7">
        <f t="shared" si="0"/>
        <v>1091.7663664929235</v>
      </c>
      <c r="S63" s="57">
        <f ca="1">AVERAGE(OFFSET($R$3,0,0,'Données projet'!$E$9+1,1))-AVERAGE(OFFSET($H$3,0,0,'Données projet'!$E$9+1,1))</f>
        <v>443.34220761968419</v>
      </c>
      <c r="T63" s="57">
        <f t="shared" si="34"/>
        <v>546.58234447298014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29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97.730620672357077</v>
      </c>
      <c r="AA63" s="21">
        <f>EXP(-LN(2)/25)*AA62+(1-EXP(-LN(2)/25))/(LN(2)/25)*Calculateur!V63*Calculateur!X63*VLOOKUP('Données projet'!$B$9,Paramètres!$A$1:$I$89,3,0)*0.475*44/12</f>
        <v>9.5487662189100568</v>
      </c>
      <c r="AB63" s="21">
        <f>EXP(-LN(2)/2)*AB62+(1-EXP(-LN(2)/2))/(LN(2)/2)*V63*Y63*VLOOKUP('Données projet'!$B$9,Paramètres!$A$1:$I$89,3,0)*0.475*44/12</f>
        <v>1.8438100710279173E-4</v>
      </c>
      <c r="AC63" s="22">
        <f t="shared" si="3"/>
        <v>107.27957127227424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798</v>
      </c>
      <c r="AG63" s="12">
        <f>VLOOKUP(A63,'Données projet'!$A$61:$I$81,9,0)</f>
        <v>24</v>
      </c>
      <c r="AH63" s="12">
        <f t="array" ref="AH63">INDEX(AG:AG,MIN(IF(ISNUMBER(AG63:AG259),ROW(AG63:AG259),"")))</f>
        <v>24</v>
      </c>
      <c r="AI63" s="13">
        <f>IF('Données projet'!$A$62&gt;35,AI62+AH63-AQ62,IF(A63&lt;'Données projet'!$A$62,$AF$205^A63,IF(A63='Données projet'!$A$62,'Données projet'!$B$62,AI62+AH63-AQ62)))</f>
        <v>797.99999999999955</v>
      </c>
      <c r="AJ63" s="13">
        <f>AI63*VLOOKUP('Données projet'!$B$10,Paramètres!$A$1:$I$89,3,0)*VLOOKUP('Données projet'!$B$10,Paramètres!$A$1:$I$89,5,0)</f>
        <v>373.46399999999977</v>
      </c>
      <c r="AK63" s="13">
        <f t="shared" si="35"/>
        <v>86.375595677138463</v>
      </c>
      <c r="AL63" s="20">
        <f t="shared" si="4"/>
        <v>800.88729580434904</v>
      </c>
      <c r="AM63" s="57">
        <f t="shared" si="5"/>
        <v>1094.2206291376824</v>
      </c>
      <c r="AN63" s="57">
        <f ca="1">AVERAGE(OFFSET($AM$3,0,0,'Données projet'!$E$10+1,1))-AVERAGE(OFFSET($H$3,0,0,'Données projet'!$E$10+1,1))</f>
        <v>524.3999528951972</v>
      </c>
      <c r="AO63" s="57">
        <f t="shared" si="36"/>
        <v>459.3547783500515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64</v>
      </c>
      <c r="AR63" s="16">
        <f>IF(ISNA(VLOOKUP(A63,'Données projet'!$A$61:$I$81,5,0)),0%,VLOOKUP(A63,'Données projet'!$A$61:$I$81,5,0)*VLOOKUP('Données projet'!$B$10,Paramètres!$A$1:$I$89,7,0))</f>
        <v>0.55000000000000004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123.72558646207271</v>
      </c>
      <c r="AV63" s="21">
        <f>EXP(-LN(2)/25)*AV62+(1-EXP(-LN(2)/25))/(LN(2)/25)*Calculateur!AQ63*Calculateur!AS63*VLOOKUP('Données projet'!$B$10,Paramètres!$A$1:$I$89,3,0)*0.475*44/12</f>
        <v>23.261423294317467</v>
      </c>
      <c r="AW63" s="21">
        <f>EXP(-LN(2)/2)*AW62+(1-EXP(-LN(2)/2))/(LN(2)/2)*AQ63*AT63*VLOOKUP('Données projet'!$B$10,Paramètres!$A$1:$I$89,3,0)*0.475*44/12</f>
        <v>3.6384295937969005E-5</v>
      </c>
      <c r="AX63" s="21">
        <f t="shared" si="6"/>
        <v>146.98704614068612</v>
      </c>
      <c r="AY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740</v>
      </c>
      <c r="BB63" s="12">
        <f>VLOOKUP(A63,'Données projet'!$A$87:$I$107,9,0)</f>
        <v>23.8</v>
      </c>
      <c r="BC63" s="12">
        <f t="array" ref="BC63">INDEX(BB:BB,MIN(IF(ISNUMBER(BB63:BB259),ROW(BB63:BB259),"")))</f>
        <v>23.8</v>
      </c>
      <c r="BD63" s="12">
        <f>IF('Données projet'!$A$88&gt;35,BD62+BC63-BL62,IF(A63&lt;'Données projet'!$A$88,$BA$205^A63,IF(A63='Données projet'!$A$88,'Données projet'!$B$88,BD62+BC63-BL62)))</f>
        <v>740.00000000000011</v>
      </c>
      <c r="BE63" s="13">
        <f>BD63*VLOOKUP('Données projet'!$B$11,Paramètres!$A$1:$I$89,3,0)*VLOOKUP('Données projet'!$B$11,Paramètres!$A$1:$I$89,5,0)</f>
        <v>355.94000000000005</v>
      </c>
      <c r="BF63" s="13">
        <f t="shared" si="37"/>
        <v>82.784418381290166</v>
      </c>
      <c r="BG63" s="20">
        <f t="shared" si="7"/>
        <v>764.11169534741384</v>
      </c>
      <c r="BH63" s="57">
        <f t="shared" si="8"/>
        <v>1057.4450286807471</v>
      </c>
      <c r="BI63" s="57">
        <f ca="1">AVERAGE(OFFSET($BH$3,0,0,'Données projet'!$E$11+1,1))-AVERAGE(OFFSET($H$3,0,0,'Données projet'!$E$11+1,1))</f>
        <v>495.6473104257044</v>
      </c>
      <c r="BJ63" s="57">
        <f t="shared" si="38"/>
        <v>430.92527296485201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66</v>
      </c>
      <c r="BM63" s="16">
        <f>IF(ISNA(VLOOKUP(A63,'Données projet'!$A$87:$I$107,5,0)),0%,VLOOKUP(A63,'Données projet'!$A$87:$I$107,5,0)*VLOOKUP('Données projet'!$B$11,Paramètres!$A$1:$I$89,7,0))</f>
        <v>0.55000000000000004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123.26635620181332</v>
      </c>
      <c r="BQ63" s="21">
        <f>EXP(-LN(2)/25)*BQ62+(1-EXP(-LN(2)/25))/(LN(2)/25)*Calculateur!BL63*Calculateur!BN63*VLOOKUP('Données projet'!$B$11,Paramètres!$A$1:$I$89,3,0)*0.475*44/12</f>
        <v>21.915276112933348</v>
      </c>
      <c r="BR63" s="21">
        <f>EXP(-LN(2)/2)*BR62+(1-EXP(-LN(2)/2))/(LN(2)/2)*BL63*BO63*VLOOKUP('Données projet'!$B$11,Paramètres!$A$1:$I$89,3,0)*0.475*44/12</f>
        <v>2.2333107576122182E-5</v>
      </c>
      <c r="BS63" s="22">
        <f t="shared" si="9"/>
        <v>145.18165464785426</v>
      </c>
      <c r="BT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7" t="e">
        <f t="shared" si="11"/>
        <v>#NUM!</v>
      </c>
      <c r="CD63" s="57">
        <f ca="1">AVERAGE(OFFSET($CC$3,0,0,'Données projet'!$E$12+1,1))-AVERAGE(OFFSET($H$3,0,0,'Données projet'!$E$12+1,1))</f>
        <v>187.80389738728508</v>
      </c>
      <c r="CE63" s="57">
        <f t="shared" si="40"/>
        <v>439.28159165815265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68.182972137435513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3.7662328793226118E-5</v>
      </c>
      <c r="CN63" s="22">
        <f t="shared" si="12"/>
        <v>68.183009799764307</v>
      </c>
      <c r="CO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214</v>
      </c>
      <c r="CR63" s="12">
        <f>VLOOKUP(A63,'Données projet'!$A$139:$I$159,9,0)</f>
        <v>7.6</v>
      </c>
      <c r="CS63" s="12">
        <f t="array" ref="CS63">INDEX(CR:CR,MIN(IF(ISNUMBER(CR63:CR259),ROW(CR63:CR259),"")))</f>
        <v>7.6</v>
      </c>
      <c r="CT63" s="12">
        <f>IF('Données projet'!$A$140&gt;35,CT62+CS63-DB62,IF(A63&lt;'Données projet'!$A$140,$CQ$205^A63,IF(A63='Données projet'!$A$140,'Données projet'!$B$140,CT62+CS63-DB62)))</f>
        <v>213.99999999999997</v>
      </c>
      <c r="CU63" s="17">
        <f>CT63*VLOOKUP('Données projet'!$B$13,Paramètres!$A$1:$I$89,3,0)*VLOOKUP('Données projet'!$B$13,Paramètres!$A$1:$I$89,5,0)</f>
        <v>193.62719999999996</v>
      </c>
      <c r="CV63" s="13">
        <f t="shared" si="41"/>
        <v>48.340990547231193</v>
      </c>
      <c r="CW63" s="20">
        <f t="shared" si="13"/>
        <v>421.42793186976087</v>
      </c>
      <c r="CX63" s="57">
        <f t="shared" si="14"/>
        <v>714.76126520309413</v>
      </c>
      <c r="CY63" s="57">
        <f ca="1">AVERAGE(OFFSET($CX$3,0,0,'Données projet'!$E$13+1,1))-AVERAGE(OFFSET($H$3,0,0,'Données projet'!$E$13+1,1))</f>
        <v>364.3481978218424</v>
      </c>
      <c r="CZ63" s="57">
        <f t="shared" si="42"/>
        <v>231.36959598460686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21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42.916014416358301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42.916014416358301</v>
      </c>
      <c r="DJ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255.00000000000006</v>
      </c>
      <c r="DP63" s="17">
        <f>DO63*VLOOKUP('Données projet'!$B$14,Paramètres!$A$1:$I$89,3,0)*VLOOKUP('Données projet'!$B$14,Paramètres!$A$1:$I$89,5,0)</f>
        <v>186.96600000000004</v>
      </c>
      <c r="DQ63" s="13">
        <f t="shared" si="43"/>
        <v>46.868551400324648</v>
      </c>
      <c r="DR63" s="20">
        <f t="shared" si="16"/>
        <v>407.26184368889881</v>
      </c>
      <c r="DS63" s="57">
        <f t="shared" si="17"/>
        <v>700.59517702223206</v>
      </c>
      <c r="DT63" s="57">
        <f ca="1">AVERAGE(OFFSET($DS$3,0,0,'Données projet'!$E$14+1,1))-AVERAGE(OFFSET($H$3,0,0,'Données projet'!$E$14+1,1))</f>
        <v>239.25212250019609</v>
      </c>
      <c r="DU63" s="57">
        <f t="shared" si="44"/>
        <v>213.58492101729695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270</v>
      </c>
      <c r="EH63" s="12">
        <f>VLOOKUP(A63,'Données projet'!$A$191:$I$211,9,0)</f>
        <v>10.8</v>
      </c>
      <c r="EI63" s="12">
        <f t="array" ref="EI63">INDEX(EH:EH,MIN(IF(ISNUMBER(EH63:EH259),ROW(EH63:EH259),"")))</f>
        <v>10.8</v>
      </c>
      <c r="EJ63" s="12">
        <f>IF('Données projet'!$A$192&gt;35,EJ62+EI63-ER62,IF(A63&lt;'Données projet'!$A$192,$EG$205^A63,IF(A63='Données projet'!$A$192,'Données projet'!$B$192,EJ62+EI63-ER62)))</f>
        <v>270.00000000000006</v>
      </c>
      <c r="EK63" s="17">
        <f>EJ63*VLOOKUP('Données projet'!$B$15,Paramètres!$A$1:$I$89,3,0)*VLOOKUP('Données projet'!$B$15,Paramètres!$A$1:$I$89,5,0)</f>
        <v>231.66000000000011</v>
      </c>
      <c r="EL63" s="13">
        <f t="shared" si="45"/>
        <v>56.641461975682823</v>
      </c>
      <c r="EM63" s="20">
        <f t="shared" si="19"/>
        <v>502.1250462743144</v>
      </c>
      <c r="EN63" s="57">
        <f t="shared" si="20"/>
        <v>795.45837960764766</v>
      </c>
      <c r="EO63" s="57">
        <f ca="1">AVERAGE(OFFSET($EN$3,0,0,'Données projet'!$E$15+1,1))-AVERAGE(OFFSET($H$3,0,0,'Données projet'!$E$15+1,1))</f>
        <v>447.10969593632467</v>
      </c>
      <c r="EP63" s="57">
        <f t="shared" si="46"/>
        <v>256.77417912163997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28</v>
      </c>
      <c r="ES63" s="16">
        <f>IF(ISNA(VLOOKUP(A63,'Données projet'!$A$191:$I$211,5,0)),0%,VLOOKUP(A63,'Données projet'!$A$191:$I$211,5,0)*VLOOKUP('Données projet'!$B$15,Paramètres!$A$1:$I$89,7,0))</f>
        <v>0.53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66.880610544605474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66.880610544605474</v>
      </c>
      <c r="EZ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7" t="e">
        <f t="shared" si="23"/>
        <v>#N/A</v>
      </c>
      <c r="FJ63" s="57" t="e">
        <f ca="1">AVERAGE(OFFSET($FI$3,0,0,'Données projet'!$E$16+1,1))-AVERAGE(OFFSET($H$3,0,0,'Données projet'!$E$16+1,1))</f>
        <v>#N/A</v>
      </c>
      <c r="FK63" s="57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7" t="e">
        <f t="shared" si="26"/>
        <v>#N/A</v>
      </c>
      <c r="GE63" s="57" t="e">
        <f ca="1">AVERAGE(OFFSET($GD$3,0,0,'Données projet'!$E$17+1,1))-AVERAGE(OFFSET($H$3,0,0,'Données projet'!$E$17+1,1))</f>
        <v>#N/A</v>
      </c>
      <c r="GF63" s="57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7" t="e">
        <f t="shared" si="29"/>
        <v>#N/A</v>
      </c>
      <c r="GZ63" s="57" t="e">
        <f ca="1">AVERAGE(OFFSET($GY$3,0,0,'Données projet'!$E$18+1,1))-AVERAGE(OFFSET($H$3,0,0,'Données projet'!$E$18+1,1))</f>
        <v>#N/A</v>
      </c>
      <c r="HA63" s="57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0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4">
        <f t="shared" si="1"/>
        <v>256.66666666666669</v>
      </c>
      <c r="I64" s="6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636.99999999999977</v>
      </c>
      <c r="O64" s="13">
        <f>N64*VLOOKUP('Données projet'!$B$9,Paramètres!$A$1:$I$89,3,0)*VLOOKUP('Données projet'!$B$9,Paramètres!$A$1:$I$89,5,0)</f>
        <v>356.08299999999991</v>
      </c>
      <c r="P64" s="13">
        <f t="shared" si="33"/>
        <v>82.813805255716545</v>
      </c>
      <c r="Q64" s="20">
        <f t="shared" si="53"/>
        <v>764.41193582037283</v>
      </c>
      <c r="R64" s="57">
        <f t="shared" si="0"/>
        <v>1057.7452691537062</v>
      </c>
      <c r="S64" s="57">
        <f ca="1">AVERAGE(OFFSET($R$3,0,0,'Données projet'!$E$9+1,1))-AVERAGE(OFFSET($H$3,0,0,'Données projet'!$E$9+1,1))</f>
        <v>443.34220761968419</v>
      </c>
      <c r="T64" s="57">
        <f t="shared" si="34"/>
        <v>546.58234447298014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95.814182810764791</v>
      </c>
      <c r="AA64" s="21">
        <f>EXP(-LN(2)/25)*AA63+(1-EXP(-LN(2)/25))/(LN(2)/25)*Calculateur!V64*Calculateur!X64*VLOOKUP('Données projet'!$B$9,Paramètres!$A$1:$I$89,3,0)*0.475*44/12</f>
        <v>9.2876547045061706</v>
      </c>
      <c r="AB64" s="21">
        <f>EXP(-LN(2)/2)*AB63+(1-EXP(-LN(2)/2))/(LN(2)/2)*V64*Y64*VLOOKUP('Données projet'!$B$9,Paramètres!$A$1:$I$89,3,0)*0.475*44/12</f>
        <v>1.3037706044438901E-4</v>
      </c>
      <c r="AC64" s="22">
        <f t="shared" si="3"/>
        <v>105.1019678923314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22.4</v>
      </c>
      <c r="AI64" s="13">
        <f>IF('Données projet'!$A$62&gt;35,AI63+AH64-AQ63,IF(A64&lt;'Données projet'!$A$62,$AF$205^A64,IF(A64='Données projet'!$A$62,'Données projet'!$B$62,AI63+AH64-AQ63)))</f>
        <v>756.39999999999952</v>
      </c>
      <c r="AJ64" s="13">
        <f>AI64*VLOOKUP('Données projet'!$B$10,Paramètres!$A$1:$I$89,3,0)*VLOOKUP('Données projet'!$B$10,Paramètres!$A$1:$I$89,5,0)</f>
        <v>353.99519999999978</v>
      </c>
      <c r="AK64" s="13">
        <f t="shared" si="35"/>
        <v>82.384620192632227</v>
      </c>
      <c r="AL64" s="20">
        <f t="shared" si="4"/>
        <v>760.02818683550061</v>
      </c>
      <c r="AM64" s="57">
        <f t="shared" si="5"/>
        <v>1053.361520168834</v>
      </c>
      <c r="AN64" s="57">
        <f ca="1">AVERAGE(OFFSET($AM$3,0,0,'Données projet'!$E$10+1,1))-AVERAGE(OFFSET($H$3,0,0,'Données projet'!$E$10+1,1))</f>
        <v>524.3999528951972</v>
      </c>
      <c r="AO64" s="57">
        <f t="shared" si="36"/>
        <v>459.3547783500515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121.29940317670764</v>
      </c>
      <c r="AV64" s="21">
        <f>EXP(-LN(2)/25)*AV63+(1-EXP(-LN(2)/25))/(LN(2)/25)*Calculateur!AQ64*Calculateur!AS64*VLOOKUP('Données projet'!$B$10,Paramètres!$A$1:$I$89,3,0)*0.475*44/12</f>
        <v>22.625338451069268</v>
      </c>
      <c r="AW64" s="21">
        <f>EXP(-LN(2)/2)*AW63+(1-EXP(-LN(2)/2))/(LN(2)/2)*AQ64*AT64*VLOOKUP('Données projet'!$B$10,Paramètres!$A$1:$I$89,3,0)*0.475*44/12</f>
        <v>2.5727582386436039E-5</v>
      </c>
      <c r="AX64" s="21">
        <f t="shared" si="6"/>
        <v>143.92476735535931</v>
      </c>
      <c r="AY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22.4</v>
      </c>
      <c r="BD64" s="12">
        <f>IF('Données projet'!$A$88&gt;35,BD63+BC64-BL63,IF(A64&lt;'Données projet'!$A$88,$BA$205^A64,IF(A64='Données projet'!$A$88,'Données projet'!$B$88,BD63+BC64-BL63)))</f>
        <v>696.40000000000009</v>
      </c>
      <c r="BE64" s="13">
        <f>BD64*VLOOKUP('Données projet'!$B$11,Paramètres!$A$1:$I$89,3,0)*VLOOKUP('Données projet'!$B$11,Paramètres!$A$1:$I$89,5,0)</f>
        <v>334.96840000000003</v>
      </c>
      <c r="BF64" s="13">
        <f t="shared" si="37"/>
        <v>78.459485670540758</v>
      </c>
      <c r="BG64" s="20">
        <f t="shared" si="7"/>
        <v>720.05356754285856</v>
      </c>
      <c r="BH64" s="57">
        <f t="shared" si="8"/>
        <v>1013.3869008761919</v>
      </c>
      <c r="BI64" s="57">
        <f ca="1">AVERAGE(OFFSET($BH$3,0,0,'Données projet'!$E$11+1,1))-AVERAGE(OFFSET($H$3,0,0,'Données projet'!$E$11+1,1))</f>
        <v>495.6473104257044</v>
      </c>
      <c r="BJ64" s="57">
        <f t="shared" si="38"/>
        <v>430.92527296485201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120.84917814174914</v>
      </c>
      <c r="BQ64" s="21">
        <f>EXP(-LN(2)/25)*BQ63+(1-EXP(-LN(2)/25))/(LN(2)/25)*Calculateur!BL64*Calculateur!BN64*VLOOKUP('Données projet'!$B$11,Paramètres!$A$1:$I$89,3,0)*0.475*44/12</f>
        <v>21.316001735150902</v>
      </c>
      <c r="BR64" s="21">
        <f>EXP(-LN(2)/2)*BR63+(1-EXP(-LN(2)/2))/(LN(2)/2)*BL64*BO64*VLOOKUP('Données projet'!$B$11,Paramètres!$A$1:$I$89,3,0)*0.475*44/12</f>
        <v>1.5791891812044655E-5</v>
      </c>
      <c r="BS64" s="22">
        <f t="shared" si="9"/>
        <v>142.16519566879185</v>
      </c>
      <c r="BT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7" t="e">
        <f t="shared" si="11"/>
        <v>#NUM!</v>
      </c>
      <c r="CD64" s="57">
        <f ca="1">AVERAGE(OFFSET($CC$3,0,0,'Données projet'!$E$12+1,1))-AVERAGE(OFFSET($H$3,0,0,'Données projet'!$E$12+1,1))</f>
        <v>187.80389738728508</v>
      </c>
      <c r="CE64" s="57">
        <f t="shared" si="40"/>
        <v>439.28159165815265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66.845945641326978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2.6631288084967549E-5</v>
      </c>
      <c r="CN64" s="22">
        <f t="shared" si="12"/>
        <v>66.845972272615057</v>
      </c>
      <c r="CO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7.2</v>
      </c>
      <c r="CT64" s="12">
        <f>IF('Données projet'!$A$140&gt;35,CT63+CS64-DB63,IF(A64&lt;'Données projet'!$A$140,$CQ$205^A64,IF(A64='Données projet'!$A$140,'Données projet'!$B$140,CT63+CS64-DB63)))</f>
        <v>200.19999999999996</v>
      </c>
      <c r="CU64" s="17">
        <f>CT64*VLOOKUP('Données projet'!$B$13,Paramètres!$A$1:$I$89,3,0)*VLOOKUP('Données projet'!$B$13,Paramètres!$A$1:$I$89,5,0)</f>
        <v>181.14095999999995</v>
      </c>
      <c r="CV64" s="13">
        <f t="shared" si="41"/>
        <v>45.575935320610945</v>
      </c>
      <c r="CW64" s="20">
        <f t="shared" si="13"/>
        <v>394.86525935006392</v>
      </c>
      <c r="CX64" s="57">
        <f t="shared" si="14"/>
        <v>688.19859268339724</v>
      </c>
      <c r="CY64" s="57">
        <f ca="1">AVERAGE(OFFSET($CX$3,0,0,'Données projet'!$E$13+1,1))-AVERAGE(OFFSET($H$3,0,0,'Données projet'!$E$13+1,1))</f>
        <v>364.3481978218424</v>
      </c>
      <c r="CZ64" s="57">
        <f t="shared" si="42"/>
        <v>231.36959598460686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42.074457549837625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42.074457549837625</v>
      </c>
      <c r="DJ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255.00000000000006</v>
      </c>
      <c r="DP64" s="17">
        <f>DO64*VLOOKUP('Données projet'!$B$14,Paramètres!$A$1:$I$89,3,0)*VLOOKUP('Données projet'!$B$14,Paramètres!$A$1:$I$89,5,0)</f>
        <v>186.96600000000004</v>
      </c>
      <c r="DQ64" s="13">
        <f t="shared" si="43"/>
        <v>46.868551400324648</v>
      </c>
      <c r="DR64" s="20">
        <f t="shared" si="16"/>
        <v>407.26184368889881</v>
      </c>
      <c r="DS64" s="57">
        <f t="shared" si="17"/>
        <v>700.59517702223206</v>
      </c>
      <c r="DT64" s="57">
        <f ca="1">AVERAGE(OFFSET($DS$3,0,0,'Données projet'!$E$14+1,1))-AVERAGE(OFFSET($H$3,0,0,'Données projet'!$E$14+1,1))</f>
        <v>239.25212250019609</v>
      </c>
      <c r="DU64" s="57">
        <f t="shared" si="44"/>
        <v>213.58492101729695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10.4</v>
      </c>
      <c r="EJ64" s="12">
        <f>IF('Données projet'!$A$192&gt;35,EJ63+EI64-ER63,IF(A64&lt;'Données projet'!$A$192,$EG$205^A64,IF(A64='Données projet'!$A$192,'Données projet'!$B$192,EJ63+EI64-ER63)))</f>
        <v>252.40000000000003</v>
      </c>
      <c r="EK64" s="17">
        <f>EJ64*VLOOKUP('Données projet'!$B$15,Paramètres!$A$1:$I$89,3,0)*VLOOKUP('Données projet'!$B$15,Paramètres!$A$1:$I$89,5,0)</f>
        <v>216.55920000000003</v>
      </c>
      <c r="EL64" s="13">
        <f t="shared" si="45"/>
        <v>53.366360125240483</v>
      </c>
      <c r="EM64" s="20">
        <f t="shared" si="19"/>
        <v>470.12035055146049</v>
      </c>
      <c r="EN64" s="57">
        <f t="shared" si="20"/>
        <v>763.4536838847938</v>
      </c>
      <c r="EO64" s="57">
        <f ca="1">AVERAGE(OFFSET($EN$3,0,0,'Données projet'!$E$15+1,1))-AVERAGE(OFFSET($H$3,0,0,'Données projet'!$E$15+1,1))</f>
        <v>447.10969593632467</v>
      </c>
      <c r="EP64" s="57">
        <f t="shared" si="46"/>
        <v>256.77417912163997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65.569122564970201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65.569122564970201</v>
      </c>
      <c r="EZ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7" t="e">
        <f t="shared" si="23"/>
        <v>#N/A</v>
      </c>
      <c r="FJ64" s="57" t="e">
        <f ca="1">AVERAGE(OFFSET($FI$3,0,0,'Données projet'!$E$16+1,1))-AVERAGE(OFFSET($H$3,0,0,'Données projet'!$E$16+1,1))</f>
        <v>#N/A</v>
      </c>
      <c r="FK64" s="57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7" t="e">
        <f t="shared" si="26"/>
        <v>#N/A</v>
      </c>
      <c r="GE64" s="57" t="e">
        <f ca="1">AVERAGE(OFFSET($GD$3,0,0,'Données projet'!$E$17+1,1))-AVERAGE(OFFSET($H$3,0,0,'Données projet'!$E$17+1,1))</f>
        <v>#N/A</v>
      </c>
      <c r="GF64" s="57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7" t="e">
        <f t="shared" si="29"/>
        <v>#N/A</v>
      </c>
      <c r="GZ64" s="57" t="e">
        <f ca="1">AVERAGE(OFFSET($GY$3,0,0,'Données projet'!$E$18+1,1))-AVERAGE(OFFSET($H$3,0,0,'Données projet'!$E$18+1,1))</f>
        <v>#N/A</v>
      </c>
      <c r="HA64" s="57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0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4">
        <f t="shared" si="1"/>
        <v>256.66666666666669</v>
      </c>
      <c r="I65" s="6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636.99999999999977</v>
      </c>
      <c r="O65" s="13">
        <f>N65*VLOOKUP('Données projet'!$B$9,Paramètres!$A$1:$I$89,3,0)*VLOOKUP('Données projet'!$B$9,Paramètres!$A$1:$I$89,5,0)</f>
        <v>356.08299999999991</v>
      </c>
      <c r="P65" s="13">
        <f t="shared" si="33"/>
        <v>82.813805255716545</v>
      </c>
      <c r="Q65" s="20">
        <f t="shared" si="53"/>
        <v>764.41193582037283</v>
      </c>
      <c r="R65" s="57">
        <f t="shared" si="0"/>
        <v>1057.7452691537062</v>
      </c>
      <c r="S65" s="57">
        <f ca="1">AVERAGE(OFFSET($R$3,0,0,'Données projet'!$E$9+1,1))-AVERAGE(OFFSET($H$3,0,0,'Données projet'!$E$9+1,1))</f>
        <v>443.34220761968419</v>
      </c>
      <c r="T65" s="57">
        <f t="shared" si="34"/>
        <v>546.58234447298014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93.935325126726653</v>
      </c>
      <c r="AA65" s="21">
        <f>EXP(-LN(2)/25)*AA64+(1-EXP(-LN(2)/25))/(LN(2)/25)*Calculateur!V65*Calculateur!X65*VLOOKUP('Données projet'!$B$9,Paramètres!$A$1:$I$89,3,0)*0.475*44/12</f>
        <v>9.0336832981949158</v>
      </c>
      <c r="AB65" s="21">
        <f>EXP(-LN(2)/2)*AB64+(1-EXP(-LN(2)/2))/(LN(2)/2)*V65*Y65*VLOOKUP('Données projet'!$B$9,Paramètres!$A$1:$I$89,3,0)*0.475*44/12</f>
        <v>9.2190503551395863E-5</v>
      </c>
      <c r="AC65" s="22">
        <f t="shared" si="3"/>
        <v>102.96910061542512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22.4</v>
      </c>
      <c r="AI65" s="13">
        <f>IF('Données projet'!$A$62&gt;35,AI64+AH65-AQ64,IF(A65&lt;'Données projet'!$A$62,$AF$205^A65,IF(A65='Données projet'!$A$62,'Données projet'!$B$62,AI64+AH65-AQ64)))</f>
        <v>778.7999999999995</v>
      </c>
      <c r="AJ65" s="13">
        <f>AI65*VLOOKUP('Données projet'!$B$10,Paramètres!$A$1:$I$89,3,0)*VLOOKUP('Données projet'!$B$10,Paramètres!$A$1:$I$89,5,0)</f>
        <v>364.47839999999979</v>
      </c>
      <c r="AK65" s="13">
        <f t="shared" si="35"/>
        <v>84.536694777894141</v>
      </c>
      <c r="AL65" s="20">
        <f t="shared" si="4"/>
        <v>782.0346234048319</v>
      </c>
      <c r="AM65" s="57">
        <f t="shared" si="5"/>
        <v>1075.3679567381653</v>
      </c>
      <c r="AN65" s="57">
        <f ca="1">AVERAGE(OFFSET($AM$3,0,0,'Données projet'!$E$10+1,1))-AVERAGE(OFFSET($H$3,0,0,'Données projet'!$E$10+1,1))</f>
        <v>524.3999528951972</v>
      </c>
      <c r="AO65" s="57">
        <f t="shared" si="36"/>
        <v>459.3547783500515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118.9207958657429</v>
      </c>
      <c r="AV65" s="21">
        <f>EXP(-LN(2)/25)*AV64+(1-EXP(-LN(2)/25))/(LN(2)/25)*Calculateur!AQ65*Calculateur!AS65*VLOOKUP('Données projet'!$B$10,Paramètres!$A$1:$I$89,3,0)*0.475*44/12</f>
        <v>22.006647381309939</v>
      </c>
      <c r="AW65" s="21">
        <f>EXP(-LN(2)/2)*AW64+(1-EXP(-LN(2)/2))/(LN(2)/2)*AQ65*AT65*VLOOKUP('Données projet'!$B$10,Paramètres!$A$1:$I$89,3,0)*0.475*44/12</f>
        <v>1.8192147968984502E-5</v>
      </c>
      <c r="AX65" s="21">
        <f t="shared" si="6"/>
        <v>140.92746143920081</v>
      </c>
      <c r="AY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22.4</v>
      </c>
      <c r="BD65" s="12">
        <f>IF('Données projet'!$A$88&gt;35,BD64+BC65-BL64,IF(A65&lt;'Données projet'!$A$88,$BA$205^A65,IF(A65='Données projet'!$A$88,'Données projet'!$B$88,BD64+BC65-BL64)))</f>
        <v>718.80000000000007</v>
      </c>
      <c r="BE65" s="13">
        <f>BD65*VLOOKUP('Données projet'!$B$11,Paramètres!$A$1:$I$89,3,0)*VLOOKUP('Données projet'!$B$11,Paramètres!$A$1:$I$89,5,0)</f>
        <v>345.74280000000005</v>
      </c>
      <c r="BF65" s="13">
        <f t="shared" si="37"/>
        <v>80.685286161274362</v>
      </c>
      <c r="BG65" s="20">
        <f t="shared" si="7"/>
        <v>742.69558339755292</v>
      </c>
      <c r="BH65" s="57">
        <f t="shared" si="8"/>
        <v>1036.0289167308863</v>
      </c>
      <c r="BI65" s="57">
        <f ca="1">AVERAGE(OFFSET($BH$3,0,0,'Données projet'!$E$11+1,1))-AVERAGE(OFFSET($H$3,0,0,'Données projet'!$E$11+1,1))</f>
        <v>495.6473104257044</v>
      </c>
      <c r="BJ65" s="57">
        <f t="shared" si="38"/>
        <v>430.92527296485201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118.47939946910977</v>
      </c>
      <c r="BQ65" s="21">
        <f>EXP(-LN(2)/25)*BQ64+(1-EXP(-LN(2)/25))/(LN(2)/25)*Calculateur!BL65*Calculateur!BN65*VLOOKUP('Données projet'!$B$11,Paramètres!$A$1:$I$89,3,0)*0.475*44/12</f>
        <v>20.733114546743387</v>
      </c>
      <c r="BR65" s="21">
        <f>EXP(-LN(2)/2)*BR64+(1-EXP(-LN(2)/2))/(LN(2)/2)*BL65*BO65*VLOOKUP('Données projet'!$B$11,Paramètres!$A$1:$I$89,3,0)*0.475*44/12</f>
        <v>1.1166553788061091E-5</v>
      </c>
      <c r="BS65" s="22">
        <f t="shared" si="9"/>
        <v>139.21252518240692</v>
      </c>
      <c r="BT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7" t="e">
        <f t="shared" si="11"/>
        <v>#NUM!</v>
      </c>
      <c r="CD65" s="57">
        <f ca="1">AVERAGE(OFFSET($CC$3,0,0,'Données projet'!$E$12+1,1))-AVERAGE(OFFSET($H$3,0,0,'Données projet'!$E$12+1,1))</f>
        <v>187.80389738728508</v>
      </c>
      <c r="CE65" s="57">
        <f t="shared" si="40"/>
        <v>439.28159165815265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65.535137419301492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1.8831164396613059E-5</v>
      </c>
      <c r="CN65" s="22">
        <f t="shared" si="12"/>
        <v>65.535156250465889</v>
      </c>
      <c r="CO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7.2</v>
      </c>
      <c r="CT65" s="12">
        <f>IF('Données projet'!$A$140&gt;35,CT64+CS65-DB64,IF(A65&lt;'Données projet'!$A$140,$CQ$205^A65,IF(A65='Données projet'!$A$140,'Données projet'!$B$140,CT64+CS65-DB64)))</f>
        <v>207.39999999999995</v>
      </c>
      <c r="CU65" s="17">
        <f>CT65*VLOOKUP('Données projet'!$B$13,Paramètres!$A$1:$I$89,3,0)*VLOOKUP('Données projet'!$B$13,Paramètres!$A$1:$I$89,5,0)</f>
        <v>187.65551999999994</v>
      </c>
      <c r="CV65" s="13">
        <f t="shared" si="41"/>
        <v>47.021247649900147</v>
      </c>
      <c r="CW65" s="20">
        <f t="shared" si="13"/>
        <v>408.72870365690932</v>
      </c>
      <c r="CX65" s="57">
        <f t="shared" si="14"/>
        <v>702.06203699024263</v>
      </c>
      <c r="CY65" s="57">
        <f ca="1">AVERAGE(OFFSET($CX$3,0,0,'Données projet'!$E$13+1,1))-AVERAGE(OFFSET($H$3,0,0,'Données projet'!$E$13+1,1))</f>
        <v>364.3481978218424</v>
      </c>
      <c r="CZ65" s="57">
        <f t="shared" si="42"/>
        <v>231.36959598460686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41.249403100170419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41.249403100170419</v>
      </c>
      <c r="DJ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255.00000000000006</v>
      </c>
      <c r="DP65" s="17">
        <f>DO65*VLOOKUP('Données projet'!$B$14,Paramètres!$A$1:$I$89,3,0)*VLOOKUP('Données projet'!$B$14,Paramètres!$A$1:$I$89,5,0)</f>
        <v>186.96600000000004</v>
      </c>
      <c r="DQ65" s="13">
        <f t="shared" si="43"/>
        <v>46.868551400324648</v>
      </c>
      <c r="DR65" s="20">
        <f t="shared" si="16"/>
        <v>407.26184368889881</v>
      </c>
      <c r="DS65" s="57">
        <f t="shared" si="17"/>
        <v>700.59517702223206</v>
      </c>
      <c r="DT65" s="57">
        <f ca="1">AVERAGE(OFFSET($DS$3,0,0,'Données projet'!$E$14+1,1))-AVERAGE(OFFSET($H$3,0,0,'Données projet'!$E$14+1,1))</f>
        <v>239.25212250019609</v>
      </c>
      <c r="DU65" s="57">
        <f t="shared" si="44"/>
        <v>213.58492101729695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10.4</v>
      </c>
      <c r="EJ65" s="12">
        <f>IF('Données projet'!$A$192&gt;35,EJ64+EI65-ER64,IF(A65&lt;'Données projet'!$A$192,$EG$205^A65,IF(A65='Données projet'!$A$192,'Données projet'!$B$192,EJ64+EI65-ER64)))</f>
        <v>262.8</v>
      </c>
      <c r="EK65" s="17">
        <f>EJ65*VLOOKUP('Données projet'!$B$15,Paramètres!$A$1:$I$89,3,0)*VLOOKUP('Données projet'!$B$15,Paramètres!$A$1:$I$89,5,0)</f>
        <v>225.48240000000004</v>
      </c>
      <c r="EL65" s="13">
        <f t="shared" si="45"/>
        <v>55.304745901414371</v>
      </c>
      <c r="EM65" s="20">
        <f t="shared" si="19"/>
        <v>489.03761244496349</v>
      </c>
      <c r="EN65" s="57">
        <f t="shared" si="20"/>
        <v>782.3709457782968</v>
      </c>
      <c r="EO65" s="57">
        <f ca="1">AVERAGE(OFFSET($EN$3,0,0,'Données projet'!$E$15+1,1))-AVERAGE(OFFSET($H$3,0,0,'Données projet'!$E$15+1,1))</f>
        <v>447.10969593632467</v>
      </c>
      <c r="EP65" s="57">
        <f t="shared" si="46"/>
        <v>256.77417912163997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64.283352064686895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64.283352064686895</v>
      </c>
      <c r="EZ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7" t="e">
        <f t="shared" si="23"/>
        <v>#N/A</v>
      </c>
      <c r="FJ65" s="57" t="e">
        <f ca="1">AVERAGE(OFFSET($FI$3,0,0,'Données projet'!$E$16+1,1))-AVERAGE(OFFSET($H$3,0,0,'Données projet'!$E$16+1,1))</f>
        <v>#N/A</v>
      </c>
      <c r="FK65" s="57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7" t="e">
        <f t="shared" si="26"/>
        <v>#N/A</v>
      </c>
      <c r="GE65" s="57" t="e">
        <f ca="1">AVERAGE(OFFSET($GD$3,0,0,'Données projet'!$E$17+1,1))-AVERAGE(OFFSET($H$3,0,0,'Données projet'!$E$17+1,1))</f>
        <v>#N/A</v>
      </c>
      <c r="GF65" s="57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7" t="e">
        <f t="shared" si="29"/>
        <v>#N/A</v>
      </c>
      <c r="GZ65" s="57" t="e">
        <f ca="1">AVERAGE(OFFSET($GY$3,0,0,'Données projet'!$E$18+1,1))-AVERAGE(OFFSET($H$3,0,0,'Données projet'!$E$18+1,1))</f>
        <v>#N/A</v>
      </c>
      <c r="HA65" s="57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0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4">
        <f t="shared" si="1"/>
        <v>256.66666666666669</v>
      </c>
      <c r="I66" s="6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636.99999999999977</v>
      </c>
      <c r="O66" s="13">
        <f>N66*VLOOKUP('Données projet'!$B$9,Paramètres!$A$1:$I$89,3,0)*VLOOKUP('Données projet'!$B$9,Paramètres!$A$1:$I$89,5,0)</f>
        <v>356.08299999999991</v>
      </c>
      <c r="P66" s="13">
        <f t="shared" si="33"/>
        <v>82.813805255716545</v>
      </c>
      <c r="Q66" s="20">
        <f t="shared" si="53"/>
        <v>764.41193582037283</v>
      </c>
      <c r="R66" s="57">
        <f t="shared" si="0"/>
        <v>1057.7452691537062</v>
      </c>
      <c r="S66" s="57">
        <f ca="1">AVERAGE(OFFSET($R$3,0,0,'Données projet'!$E$9+1,1))-AVERAGE(OFFSET($H$3,0,0,'Données projet'!$E$9+1,1))</f>
        <v>443.34220761968419</v>
      </c>
      <c r="T66" s="57">
        <f t="shared" si="34"/>
        <v>546.58234447298014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92.093310695882465</v>
      </c>
      <c r="AA66" s="21">
        <f>EXP(-LN(2)/25)*AA65+(1-EXP(-LN(2)/25))/(LN(2)/25)*Calculateur!V66*Calculateur!X66*VLOOKUP('Données projet'!$B$9,Paramètres!$A$1:$I$89,3,0)*0.475*44/12</f>
        <v>8.7866567533450173</v>
      </c>
      <c r="AB66" s="21">
        <f>EXP(-LN(2)/2)*AB65+(1-EXP(-LN(2)/2))/(LN(2)/2)*V66*Y66*VLOOKUP('Données projet'!$B$9,Paramètres!$A$1:$I$89,3,0)*0.475*44/12</f>
        <v>6.5188530222194506E-5</v>
      </c>
      <c r="AC66" s="22">
        <f t="shared" si="3"/>
        <v>100.88003263775771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22.4</v>
      </c>
      <c r="AI66" s="13">
        <f>IF('Données projet'!$A$62&gt;35,AI65+AH66-AQ65,IF(A66&lt;'Données projet'!$A$62,$AF$205^A66,IF(A66='Données projet'!$A$62,'Données projet'!$B$62,AI65+AH66-AQ65)))</f>
        <v>801.19999999999948</v>
      </c>
      <c r="AJ66" s="13">
        <f>AI66*VLOOKUP('Données projet'!$B$10,Paramètres!$A$1:$I$89,3,0)*VLOOKUP('Données projet'!$B$10,Paramètres!$A$1:$I$89,5,0)</f>
        <v>374.96159999999975</v>
      </c>
      <c r="AK66" s="13">
        <f t="shared" si="35"/>
        <v>86.681575389196297</v>
      </c>
      <c r="AL66" s="20">
        <f t="shared" si="4"/>
        <v>804.02853046951634</v>
      </c>
      <c r="AM66" s="57">
        <f t="shared" si="5"/>
        <v>1097.3618638028497</v>
      </c>
      <c r="AN66" s="57">
        <f ca="1">AVERAGE(OFFSET($AM$3,0,0,'Données projet'!$E$10+1,1))-AVERAGE(OFFSET($H$3,0,0,'Données projet'!$E$10+1,1))</f>
        <v>524.3999528951972</v>
      </c>
      <c r="AO66" s="57">
        <f t="shared" si="36"/>
        <v>459.3547783500515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116.58883159333898</v>
      </c>
      <c r="AV66" s="21">
        <f>EXP(-LN(2)/25)*AV65+(1-EXP(-LN(2)/25))/(LN(2)/25)*Calculateur!AQ66*Calculateur!AS66*VLOOKUP('Données projet'!$B$10,Paramètres!$A$1:$I$89,3,0)*0.475*44/12</f>
        <v>21.404874451388729</v>
      </c>
      <c r="AW66" s="21">
        <f>EXP(-LN(2)/2)*AW65+(1-EXP(-LN(2)/2))/(LN(2)/2)*AQ66*AT66*VLOOKUP('Données projet'!$B$10,Paramètres!$A$1:$I$89,3,0)*0.475*44/12</f>
        <v>1.286379119321802E-5</v>
      </c>
      <c r="AX66" s="21">
        <f t="shared" si="6"/>
        <v>137.9937189085189</v>
      </c>
      <c r="AY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22.4</v>
      </c>
      <c r="BD66" s="12">
        <f>IF('Données projet'!$A$88&gt;35,BD65+BC66-BL65,IF(A66&lt;'Données projet'!$A$88,$BA$205^A66,IF(A66='Données projet'!$A$88,'Données projet'!$B$88,BD65+BC66-BL65)))</f>
        <v>741.2</v>
      </c>
      <c r="BE66" s="13">
        <f>BD66*VLOOKUP('Données projet'!$B$11,Paramètres!$A$1:$I$89,3,0)*VLOOKUP('Données projet'!$B$11,Paramètres!$A$1:$I$89,5,0)</f>
        <v>356.51720000000006</v>
      </c>
      <c r="BF66" s="13">
        <f t="shared" si="37"/>
        <v>82.90302607743898</v>
      </c>
      <c r="BG66" s="20">
        <f t="shared" si="7"/>
        <v>765.32356041820628</v>
      </c>
      <c r="BH66" s="57">
        <f t="shared" si="8"/>
        <v>1058.6568937515397</v>
      </c>
      <c r="BI66" s="57">
        <f ca="1">AVERAGE(OFFSET($BH$3,0,0,'Données projet'!$E$11+1,1))-AVERAGE(OFFSET($H$3,0,0,'Données projet'!$E$11+1,1))</f>
        <v>495.6473104257044</v>
      </c>
      <c r="BJ66" s="57">
        <f t="shared" si="38"/>
        <v>430.92527296485201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116.15609071081859</v>
      </c>
      <c r="BQ66" s="21">
        <f>EXP(-LN(2)/25)*BQ65+(1-EXP(-LN(2)/25))/(LN(2)/25)*Calculateur!BL66*Calculateur!BN66*VLOOKUP('Données projet'!$B$11,Paramètres!$A$1:$I$89,3,0)*0.475*44/12</f>
        <v>20.166166439155582</v>
      </c>
      <c r="BR66" s="21">
        <f>EXP(-LN(2)/2)*BR65+(1-EXP(-LN(2)/2))/(LN(2)/2)*BL66*BO66*VLOOKUP('Données projet'!$B$11,Paramètres!$A$1:$I$89,3,0)*0.475*44/12</f>
        <v>7.8959459060223273E-6</v>
      </c>
      <c r="BS66" s="22">
        <f t="shared" si="9"/>
        <v>136.32226504592009</v>
      </c>
      <c r="BT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7" t="e">
        <f t="shared" si="11"/>
        <v>#NUM!</v>
      </c>
      <c r="CD66" s="57">
        <f ca="1">AVERAGE(OFFSET($CC$3,0,0,'Données projet'!$E$12+1,1))-AVERAGE(OFFSET($H$3,0,0,'Données projet'!$E$12+1,1))</f>
        <v>187.80389738728508</v>
      </c>
      <c r="CE66" s="57">
        <f t="shared" si="40"/>
        <v>439.28159165815265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64.250033346995863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1.3315644042483775E-5</v>
      </c>
      <c r="CN66" s="22">
        <f t="shared" si="12"/>
        <v>64.250046662639903</v>
      </c>
      <c r="CO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7.2</v>
      </c>
      <c r="CT66" s="12">
        <f>IF('Données projet'!$A$140&gt;35,CT65+CS66-DB65,IF(A66&lt;'Données projet'!$A$140,$CQ$205^A66,IF(A66='Données projet'!$A$140,'Données projet'!$B$140,CT65+CS66-DB65)))</f>
        <v>214.59999999999994</v>
      </c>
      <c r="CU66" s="17">
        <f>CT66*VLOOKUP('Données projet'!$B$13,Paramètres!$A$1:$I$89,3,0)*VLOOKUP('Données projet'!$B$13,Paramètres!$A$1:$I$89,5,0)</f>
        <v>194.17007999999996</v>
      </c>
      <c r="CV66" s="13">
        <f t="shared" si="41"/>
        <v>48.460730182351035</v>
      </c>
      <c r="CW66" s="20">
        <f t="shared" si="13"/>
        <v>422.5819944009279</v>
      </c>
      <c r="CX66" s="57">
        <f t="shared" si="14"/>
        <v>715.91532773426115</v>
      </c>
      <c r="CY66" s="57">
        <f ca="1">AVERAGE(OFFSET($CX$3,0,0,'Données projet'!$E$13+1,1))-AVERAGE(OFFSET($H$3,0,0,'Données projet'!$E$13+1,1))</f>
        <v>364.3481978218424</v>
      </c>
      <c r="CZ66" s="57">
        <f t="shared" si="42"/>
        <v>231.36959598460686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40.440527465027657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40.440527465027657</v>
      </c>
      <c r="DJ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255.00000000000006</v>
      </c>
      <c r="DP66" s="17">
        <f>DO66*VLOOKUP('Données projet'!$B$14,Paramètres!$A$1:$I$89,3,0)*VLOOKUP('Données projet'!$B$14,Paramètres!$A$1:$I$89,5,0)</f>
        <v>186.96600000000004</v>
      </c>
      <c r="DQ66" s="13">
        <f t="shared" si="43"/>
        <v>46.868551400324648</v>
      </c>
      <c r="DR66" s="20">
        <f t="shared" si="16"/>
        <v>407.26184368889881</v>
      </c>
      <c r="DS66" s="57">
        <f t="shared" si="17"/>
        <v>700.59517702223206</v>
      </c>
      <c r="DT66" s="57">
        <f ca="1">AVERAGE(OFFSET($DS$3,0,0,'Données projet'!$E$14+1,1))-AVERAGE(OFFSET($H$3,0,0,'Données projet'!$E$14+1,1))</f>
        <v>239.25212250019609</v>
      </c>
      <c r="DU66" s="57">
        <f t="shared" si="44"/>
        <v>213.58492101729695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10.4</v>
      </c>
      <c r="EJ66" s="12">
        <f>IF('Données projet'!$A$192&gt;35,EJ65+EI66-ER65,IF(A66&lt;'Données projet'!$A$192,$EG$205^A66,IF(A66='Données projet'!$A$192,'Données projet'!$B$192,EJ65+EI66-ER65)))</f>
        <v>273.2</v>
      </c>
      <c r="EK66" s="17">
        <f>EJ66*VLOOKUP('Données projet'!$B$15,Paramètres!$A$1:$I$89,3,0)*VLOOKUP('Données projet'!$B$15,Paramètres!$A$1:$I$89,5,0)</f>
        <v>234.40560000000005</v>
      </c>
      <c r="EL66" s="13">
        <f t="shared" si="45"/>
        <v>57.234220788626125</v>
      </c>
      <c r="EM66" s="20">
        <f t="shared" si="19"/>
        <v>507.93935454019061</v>
      </c>
      <c r="EN66" s="57">
        <f t="shared" si="20"/>
        <v>801.27268787352386</v>
      </c>
      <c r="EO66" s="57">
        <f ca="1">AVERAGE(OFFSET($EN$3,0,0,'Données projet'!$E$15+1,1))-AVERAGE(OFFSET($H$3,0,0,'Données projet'!$E$15+1,1))</f>
        <v>447.10969593632467</v>
      </c>
      <c r="EP66" s="57">
        <f t="shared" si="46"/>
        <v>256.77417912163997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63.022794739671582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63.022794739671582</v>
      </c>
      <c r="EZ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7" t="e">
        <f t="shared" si="23"/>
        <v>#N/A</v>
      </c>
      <c r="FJ66" s="57" t="e">
        <f ca="1">AVERAGE(OFFSET($FI$3,0,0,'Données projet'!$E$16+1,1))-AVERAGE(OFFSET($H$3,0,0,'Données projet'!$E$16+1,1))</f>
        <v>#N/A</v>
      </c>
      <c r="FK66" s="57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7" t="e">
        <f t="shared" si="26"/>
        <v>#N/A</v>
      </c>
      <c r="GE66" s="57" t="e">
        <f ca="1">AVERAGE(OFFSET($GD$3,0,0,'Données projet'!$E$17+1,1))-AVERAGE(OFFSET($H$3,0,0,'Données projet'!$E$17+1,1))</f>
        <v>#N/A</v>
      </c>
      <c r="GF66" s="57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7" t="e">
        <f t="shared" si="29"/>
        <v>#N/A</v>
      </c>
      <c r="GZ66" s="57" t="e">
        <f ca="1">AVERAGE(OFFSET($GY$3,0,0,'Données projet'!$E$18+1,1))-AVERAGE(OFFSET($H$3,0,0,'Données projet'!$E$18+1,1))</f>
        <v>#N/A</v>
      </c>
      <c r="HA66" s="57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0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4">
        <f t="shared" si="1"/>
        <v>256.66666666666669</v>
      </c>
      <c r="I67" s="6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636.99999999999977</v>
      </c>
      <c r="O67" s="13">
        <f>N67*VLOOKUP('Données projet'!$B$9,Paramètres!$A$1:$I$89,3,0)*VLOOKUP('Données projet'!$B$9,Paramètres!$A$1:$I$89,5,0)</f>
        <v>356.08299999999991</v>
      </c>
      <c r="P67" s="13">
        <f t="shared" si="33"/>
        <v>82.813805255716545</v>
      </c>
      <c r="Q67" s="20">
        <f t="shared" ref="Q67:Q98" si="54">(O67+P67)*0.475*44/12</f>
        <v>764.41193582037283</v>
      </c>
      <c r="R67" s="57">
        <f t="shared" ref="R67:R130" si="55">Q67+(I67+J67)*44/12</f>
        <v>1057.7452691537062</v>
      </c>
      <c r="S67" s="57">
        <f ca="1">AVERAGE(OFFSET($R$3,0,0,'Données projet'!$E$9+1,1))-AVERAGE(OFFSET($H$3,0,0,'Données projet'!$E$9+1,1))</f>
        <v>443.34220761968419</v>
      </c>
      <c r="T67" s="57">
        <f t="shared" si="34"/>
        <v>546.58234447298014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90.287417044509269</v>
      </c>
      <c r="AA67" s="21">
        <f>EXP(-LN(2)/25)*AA66+(1-EXP(-LN(2)/25))/(LN(2)/25)*Calculateur!V67*Calculateur!X67*VLOOKUP('Données projet'!$B$9,Paramètres!$A$1:$I$89,3,0)*0.475*44/12</f>
        <v>8.5463851623546017</v>
      </c>
      <c r="AB67" s="21">
        <f>EXP(-LN(2)/2)*AB66+(1-EXP(-LN(2)/2))/(LN(2)/2)*V67*Y67*VLOOKUP('Données projet'!$B$9,Paramètres!$A$1:$I$89,3,0)*0.475*44/12</f>
        <v>4.6095251775697931E-5</v>
      </c>
      <c r="AC67" s="22">
        <f t="shared" si="3"/>
        <v>98.833848302115641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22.4</v>
      </c>
      <c r="AI67" s="13">
        <f>IF('Données projet'!$A$62&gt;35,AI66+AH67-AQ66,IF(A67&lt;'Données projet'!$A$62,$AF$205^A67,IF(A67='Données projet'!$A$62,'Données projet'!$B$62,AI66+AH67-AQ66)))</f>
        <v>823.59999999999945</v>
      </c>
      <c r="AJ67" s="13">
        <f>AI67*VLOOKUP('Données projet'!$B$10,Paramètres!$A$1:$I$89,3,0)*VLOOKUP('Données projet'!$B$10,Paramètres!$A$1:$I$89,5,0)</f>
        <v>385.44479999999976</v>
      </c>
      <c r="AK67" s="13">
        <f t="shared" si="35"/>
        <v>88.819486261810454</v>
      </c>
      <c r="AL67" s="20">
        <f t="shared" si="4"/>
        <v>826.01029857265269</v>
      </c>
      <c r="AM67" s="57">
        <f t="shared" si="5"/>
        <v>1119.3436319059861</v>
      </c>
      <c r="AN67" s="57">
        <f ca="1">AVERAGE(OFFSET($AM$3,0,0,'Données projet'!$E$10+1,1))-AVERAGE(OFFSET($H$3,0,0,'Données projet'!$E$10+1,1))</f>
        <v>524.3999528951972</v>
      </c>
      <c r="AO67" s="57">
        <f t="shared" si="36"/>
        <v>459.3547783500515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114.30259571795914</v>
      </c>
      <c r="AV67" s="21">
        <f>EXP(-LN(2)/25)*AV66+(1-EXP(-LN(2)/25))/(LN(2)/25)*Calculateur!AQ67*Calculateur!AS67*VLOOKUP('Données projet'!$B$10,Paramètres!$A$1:$I$89,3,0)*0.475*44/12</f>
        <v>20.819557033882077</v>
      </c>
      <c r="AW67" s="21">
        <f>EXP(-LN(2)/2)*AW66+(1-EXP(-LN(2)/2))/(LN(2)/2)*AQ67*AT67*VLOOKUP('Données projet'!$B$10,Paramètres!$A$1:$I$89,3,0)*0.475*44/12</f>
        <v>9.0960739844922512E-6</v>
      </c>
      <c r="AX67" s="21">
        <f t="shared" si="6"/>
        <v>135.12216184791521</v>
      </c>
      <c r="AY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22.4</v>
      </c>
      <c r="BD67" s="12">
        <f>IF('Données projet'!$A$88&gt;35,BD66+BC67-BL66,IF(A67&lt;'Données projet'!$A$88,$BA$205^A67,IF(A67='Données projet'!$A$88,'Données projet'!$B$88,BD66+BC67-BL66)))</f>
        <v>763.6</v>
      </c>
      <c r="BE67" s="13">
        <f>BD67*VLOOKUP('Données projet'!$B$11,Paramètres!$A$1:$I$89,3,0)*VLOOKUP('Données projet'!$B$11,Paramètres!$A$1:$I$89,5,0)</f>
        <v>367.29160000000002</v>
      </c>
      <c r="BF67" s="13">
        <f t="shared" si="37"/>
        <v>85.112976980963069</v>
      </c>
      <c r="BG67" s="20">
        <f t="shared" si="7"/>
        <v>787.93797157517736</v>
      </c>
      <c r="BH67" s="57">
        <f t="shared" si="8"/>
        <v>1081.2713049085107</v>
      </c>
      <c r="BI67" s="57">
        <f ca="1">AVERAGE(OFFSET($BH$3,0,0,'Données projet'!$E$11+1,1))-AVERAGE(OFFSET($H$3,0,0,'Données projet'!$E$11+1,1))</f>
        <v>495.6473104257044</v>
      </c>
      <c r="BJ67" s="57">
        <f t="shared" si="38"/>
        <v>430.92527296485201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113.87834062019908</v>
      </c>
      <c r="BQ67" s="21">
        <f>EXP(-LN(2)/25)*BQ66+(1-EXP(-LN(2)/25))/(LN(2)/25)*Calculateur!BL67*Calculateur!BN67*VLOOKUP('Données projet'!$B$11,Paramètres!$A$1:$I$89,3,0)*0.475*44/12</f>
        <v>19.614721557384268</v>
      </c>
      <c r="BR67" s="21">
        <f>EXP(-LN(2)/2)*BR66+(1-EXP(-LN(2)/2))/(LN(2)/2)*BL67*BO67*VLOOKUP('Données projet'!$B$11,Paramètres!$A$1:$I$89,3,0)*0.475*44/12</f>
        <v>5.5832768940305455E-6</v>
      </c>
      <c r="BS67" s="22">
        <f t="shared" si="9"/>
        <v>133.49306776086024</v>
      </c>
      <c r="BT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7" t="e">
        <f t="shared" si="11"/>
        <v>#NUM!</v>
      </c>
      <c r="CD67" s="57">
        <f ca="1">AVERAGE(OFFSET($CC$3,0,0,'Données projet'!$E$12+1,1))-AVERAGE(OFFSET($H$3,0,0,'Données projet'!$E$12+1,1))</f>
        <v>187.80389738728508</v>
      </c>
      <c r="CE67" s="57">
        <f t="shared" si="40"/>
        <v>439.28159165815265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62.990129381712059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9.4155821983065295E-6</v>
      </c>
      <c r="CN67" s="22">
        <f t="shared" si="12"/>
        <v>62.990138797294257</v>
      </c>
      <c r="CO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7.2</v>
      </c>
      <c r="CT67" s="12">
        <f>IF('Données projet'!$A$140&gt;35,CT66+CS67-DB66,IF(A67&lt;'Données projet'!$A$140,$CQ$205^A67,IF(A67='Données projet'!$A$140,'Données projet'!$B$140,CT66+CS67-DB66)))</f>
        <v>221.79999999999993</v>
      </c>
      <c r="CU67" s="17">
        <f>CT67*VLOOKUP('Données projet'!$B$13,Paramètres!$A$1:$I$89,3,0)*VLOOKUP('Données projet'!$B$13,Paramètres!$A$1:$I$89,5,0)</f>
        <v>200.68463999999992</v>
      </c>
      <c r="CV67" s="13">
        <f t="shared" si="41"/>
        <v>49.894600936700193</v>
      </c>
      <c r="CW67" s="20">
        <f t="shared" si="13"/>
        <v>436.42551129808606</v>
      </c>
      <c r="CX67" s="57">
        <f t="shared" si="14"/>
        <v>729.75884463141938</v>
      </c>
      <c r="CY67" s="57">
        <f ca="1">AVERAGE(OFFSET($CX$3,0,0,'Données projet'!$E$13+1,1))-AVERAGE(OFFSET($H$3,0,0,'Données projet'!$E$13+1,1))</f>
        <v>364.3481978218424</v>
      </c>
      <c r="CZ67" s="57">
        <f t="shared" si="42"/>
        <v>231.36959598460686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39.647513387724622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39.647513387724622</v>
      </c>
      <c r="DJ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255.00000000000006</v>
      </c>
      <c r="DP67" s="17">
        <f>DO67*VLOOKUP('Données projet'!$B$14,Paramètres!$A$1:$I$89,3,0)*VLOOKUP('Données projet'!$B$14,Paramètres!$A$1:$I$89,5,0)</f>
        <v>186.96600000000004</v>
      </c>
      <c r="DQ67" s="13">
        <f t="shared" si="43"/>
        <v>46.868551400324648</v>
      </c>
      <c r="DR67" s="20">
        <f t="shared" si="16"/>
        <v>407.26184368889881</v>
      </c>
      <c r="DS67" s="57">
        <f t="shared" si="17"/>
        <v>700.59517702223206</v>
      </c>
      <c r="DT67" s="57">
        <f ca="1">AVERAGE(OFFSET($DS$3,0,0,'Données projet'!$E$14+1,1))-AVERAGE(OFFSET($H$3,0,0,'Données projet'!$E$14+1,1))</f>
        <v>239.25212250019609</v>
      </c>
      <c r="DU67" s="57">
        <f t="shared" si="44"/>
        <v>213.58492101729695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10.4</v>
      </c>
      <c r="EJ67" s="12">
        <f>IF('Données projet'!$A$192&gt;35,EJ66+EI67-ER66,IF(A67&lt;'Données projet'!$A$192,$EG$205^A67,IF(A67='Données projet'!$A$192,'Données projet'!$B$192,EJ66+EI67-ER66)))</f>
        <v>283.59999999999997</v>
      </c>
      <c r="EK67" s="17">
        <f>EJ67*VLOOKUP('Données projet'!$B$15,Paramètres!$A$1:$I$89,3,0)*VLOOKUP('Données projet'!$B$15,Paramètres!$A$1:$I$89,5,0)</f>
        <v>243.3288</v>
      </c>
      <c r="EL67" s="13">
        <f t="shared" si="45"/>
        <v>59.155162833418565</v>
      </c>
      <c r="EM67" s="20">
        <f t="shared" si="19"/>
        <v>526.82623526820396</v>
      </c>
      <c r="EN67" s="57">
        <f t="shared" si="20"/>
        <v>820.15956860153733</v>
      </c>
      <c r="EO67" s="57">
        <f ca="1">AVERAGE(OFFSET($EN$3,0,0,'Données projet'!$E$15+1,1))-AVERAGE(OFFSET($H$3,0,0,'Données projet'!$E$15+1,1))</f>
        <v>447.10969593632467</v>
      </c>
      <c r="EP67" s="57">
        <f t="shared" si="46"/>
        <v>256.77417912163997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61.786956174935767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61.786956174935767</v>
      </c>
      <c r="EZ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7" t="e">
        <f t="shared" si="23"/>
        <v>#N/A</v>
      </c>
      <c r="FJ67" s="57" t="e">
        <f ca="1">AVERAGE(OFFSET($FI$3,0,0,'Données projet'!$E$16+1,1))-AVERAGE(OFFSET($H$3,0,0,'Données projet'!$E$16+1,1))</f>
        <v>#N/A</v>
      </c>
      <c r="FK67" s="57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7" t="e">
        <f t="shared" si="26"/>
        <v>#N/A</v>
      </c>
      <c r="GE67" s="57" t="e">
        <f ca="1">AVERAGE(OFFSET($GD$3,0,0,'Données projet'!$E$17+1,1))-AVERAGE(OFFSET($H$3,0,0,'Données projet'!$E$17+1,1))</f>
        <v>#N/A</v>
      </c>
      <c r="GF67" s="57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7" t="e">
        <f t="shared" si="29"/>
        <v>#N/A</v>
      </c>
      <c r="GZ67" s="57" t="e">
        <f ca="1">AVERAGE(OFFSET($GY$3,0,0,'Données projet'!$E$18+1,1))-AVERAGE(OFFSET($H$3,0,0,'Données projet'!$E$18+1,1))</f>
        <v>#N/A</v>
      </c>
      <c r="HA67" s="57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0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4">
        <f t="shared" ref="H68:H131" si="56">(B68+E68+F68)*44/12+(C68+D68)*0.475*44/12</f>
        <v>256.66666666666669</v>
      </c>
      <c r="I68" s="6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636.99999999999977</v>
      </c>
      <c r="O68" s="13">
        <f>N68*VLOOKUP('Données projet'!$B$9,Paramètres!$A$1:$I$89,3,0)*VLOOKUP('Données projet'!$B$9,Paramètres!$A$1:$I$89,5,0)</f>
        <v>356.08299999999991</v>
      </c>
      <c r="P68" s="13">
        <f t="shared" si="33"/>
        <v>82.813805255716545</v>
      </c>
      <c r="Q68" s="20">
        <f t="shared" si="54"/>
        <v>764.41193582037283</v>
      </c>
      <c r="R68" s="57">
        <f t="shared" si="55"/>
        <v>1057.7452691537062</v>
      </c>
      <c r="S68" s="57">
        <f ca="1">AVERAGE(OFFSET($R$3,0,0,'Données projet'!$E$9+1,1))-AVERAGE(OFFSET($H$3,0,0,'Données projet'!$E$9+1,1))</f>
        <v>443.34220761968419</v>
      </c>
      <c r="T68" s="57">
        <f t="shared" si="34"/>
        <v>546.58234447298014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88.516935866153133</v>
      </c>
      <c r="AA68" s="21">
        <f>EXP(-LN(2)/25)*AA67+(1-EXP(-LN(2)/25))/(LN(2)/25)*Calculateur!V68*Calculateur!X68*VLOOKUP('Données projet'!$B$9,Paramètres!$A$1:$I$89,3,0)*0.475*44/12</f>
        <v>8.3126838106551517</v>
      </c>
      <c r="AB68" s="21">
        <f>EXP(-LN(2)/2)*AB67+(1-EXP(-LN(2)/2))/(LN(2)/2)*V68*Y68*VLOOKUP('Données projet'!$B$9,Paramètres!$A$1:$I$89,3,0)*0.475*44/12</f>
        <v>3.2594265111097253E-5</v>
      </c>
      <c r="AC68" s="22">
        <f t="shared" ref="AC68:AC131" si="57">SUM(Z68:AB68)</f>
        <v>96.829652271073385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846</v>
      </c>
      <c r="AG68" s="12">
        <f>VLOOKUP(A68,'Données projet'!$A$61:$I$81,9,0)</f>
        <v>22.4</v>
      </c>
      <c r="AH68" s="12">
        <f t="array" ref="AH68">INDEX(AG:AG,MIN(IF(ISNUMBER(AG68:AG264),ROW(AG68:AG264),"")))</f>
        <v>22.4</v>
      </c>
      <c r="AI68" s="13">
        <f>IF('Données projet'!$A$62&gt;35,AI67+AH68-AQ67,IF(A68&lt;'Données projet'!$A$62,$AF$205^A68,IF(A68='Données projet'!$A$62,'Données projet'!$B$62,AI67+AH68-AQ67)))</f>
        <v>845.99999999999943</v>
      </c>
      <c r="AJ68" s="13">
        <f>AI68*VLOOKUP('Données projet'!$B$10,Paramètres!$A$1:$I$89,3,0)*VLOOKUP('Données projet'!$B$10,Paramètres!$A$1:$I$89,5,0)</f>
        <v>395.92799999999971</v>
      </c>
      <c r="AK68" s="13">
        <f t="shared" si="35"/>
        <v>90.950638739376544</v>
      </c>
      <c r="AL68" s="20">
        <f t="shared" ref="AL68:AL131" si="58">(AJ68+AK68)*0.475*44/12</f>
        <v>847.98029580441369</v>
      </c>
      <c r="AM68" s="57">
        <f t="shared" ref="AM68:AM131" si="59">AL68+(AD68+AE68)*44/12</f>
        <v>1141.3136291377471</v>
      </c>
      <c r="AN68" s="57">
        <f ca="1">AVERAGE(OFFSET($AM$3,0,0,'Données projet'!$E$10+1,1))-AVERAGE(OFFSET($H$3,0,0,'Données projet'!$E$10+1,1))</f>
        <v>524.3999528951972</v>
      </c>
      <c r="AO68" s="57">
        <f t="shared" si="36"/>
        <v>459.3547783500515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60</v>
      </c>
      <c r="AR68" s="16">
        <f>IF(ISNA(VLOOKUP(A68,'Données projet'!$A$61:$I$81,5,0)),0%,VLOOKUP(A68,'Données projet'!$A$61:$I$81,5,0)*VLOOKUP('Données projet'!$B$10,Paramètres!$A$1:$I$89,7,0))</f>
        <v>0.55000000000000004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132.54865298343756</v>
      </c>
      <c r="AV68" s="21">
        <f>EXP(-LN(2)/25)*AV67+(1-EXP(-LN(2)/25))/(LN(2)/25)*Calculateur!AQ68*Calculateur!AS68*VLOOKUP('Données projet'!$B$10,Paramètres!$A$1:$I$89,3,0)*0.475*44/12</f>
        <v>20.250245151937651</v>
      </c>
      <c r="AW68" s="21">
        <f>EXP(-LN(2)/2)*AW67+(1-EXP(-LN(2)/2))/(LN(2)/2)*AQ68*AT68*VLOOKUP('Données projet'!$B$10,Paramètres!$A$1:$I$89,3,0)*0.475*44/12</f>
        <v>6.4318955966090098E-6</v>
      </c>
      <c r="AX68" s="21">
        <f t="shared" ref="AX68:AX131" si="60">SUM(AU68:AW68)</f>
        <v>152.79890456727082</v>
      </c>
      <c r="AY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786</v>
      </c>
      <c r="BB68" s="12">
        <f>VLOOKUP(A68,'Données projet'!$A$87:$I$107,9,0)</f>
        <v>22.4</v>
      </c>
      <c r="BC68" s="12">
        <f t="array" ref="BC68">INDEX(BB:BB,MIN(IF(ISNUMBER(BB68:BB264),ROW(BB68:BB264),"")))</f>
        <v>22.4</v>
      </c>
      <c r="BD68" s="12">
        <f>IF('Données projet'!$A$88&gt;35,BD67+BC68-BL67,IF(A68&lt;'Données projet'!$A$88,$BA$205^A68,IF(A68='Données projet'!$A$88,'Données projet'!$B$88,BD67+BC68-BL67)))</f>
        <v>786</v>
      </c>
      <c r="BE68" s="13">
        <f>BD68*VLOOKUP('Données projet'!$B$11,Paramètres!$A$1:$I$89,3,0)*VLOOKUP('Données projet'!$B$11,Paramètres!$A$1:$I$89,5,0)</f>
        <v>378.06600000000003</v>
      </c>
      <c r="BF68" s="13">
        <f t="shared" si="37"/>
        <v>87.315393595556259</v>
      </c>
      <c r="BG68" s="20">
        <f t="shared" ref="BG68:BG131" si="61">(BE68+BF68)*0.475*44/12</f>
        <v>810.53926051226051</v>
      </c>
      <c r="BH68" s="57">
        <f t="shared" ref="BH68:BH131" si="62">BG68+(AY68+AZ68)*44/12</f>
        <v>1103.8725938455939</v>
      </c>
      <c r="BI68" s="57">
        <f ca="1">AVERAGE(OFFSET($BH$3,0,0,'Données projet'!$E$11+1,1))-AVERAGE(OFFSET($H$3,0,0,'Données projet'!$E$11+1,1))</f>
        <v>495.6473104257044</v>
      </c>
      <c r="BJ68" s="57">
        <f t="shared" si="38"/>
        <v>430.92527296485201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62</v>
      </c>
      <c r="BM68" s="16">
        <f>IF(ISNA(VLOOKUP(A68,'Données projet'!$A$87:$I$107,5,0)),0%,VLOOKUP(A68,'Données projet'!$A$87:$I$107,5,0)*VLOOKUP('Données projet'!$B$11,Paramètres!$A$1:$I$89,7,0))</f>
        <v>0.55000000000000004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133.40369867413114</v>
      </c>
      <c r="BQ68" s="21">
        <f>EXP(-LN(2)/25)*BQ67+(1-EXP(-LN(2)/25))/(LN(2)/25)*Calculateur!BL68*Calculateur!BN68*VLOOKUP('Données projet'!$B$11,Paramètres!$A$1:$I$89,3,0)*0.475*44/12</f>
        <v>19.078355964904219</v>
      </c>
      <c r="BR68" s="21">
        <f>EXP(-LN(2)/2)*BR67+(1-EXP(-LN(2)/2))/(LN(2)/2)*BL68*BO68*VLOOKUP('Données projet'!$B$11,Paramètres!$A$1:$I$89,3,0)*0.475*44/12</f>
        <v>3.9479729530111637E-6</v>
      </c>
      <c r="BS68" s="22">
        <f t="shared" ref="BS68:BS131" si="63">SUM(BP68:BR68)</f>
        <v>152.48205858700831</v>
      </c>
      <c r="BT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7" t="e">
        <f t="shared" ref="CC68:CC131" si="65">CB68+(BT68+BU68)*44/12</f>
        <v>#NUM!</v>
      </c>
      <c r="CD68" s="57">
        <f ca="1">AVERAGE(OFFSET($CC$3,0,0,'Données projet'!$E$12+1,1))-AVERAGE(OFFSET($H$3,0,0,'Données projet'!$E$12+1,1))</f>
        <v>187.80389738728508</v>
      </c>
      <c r="CE68" s="57">
        <f t="shared" si="40"/>
        <v>439.28159165815265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61.754931364721934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6.6578220212418874E-6</v>
      </c>
      <c r="CN68" s="22">
        <f t="shared" ref="CN68:CN131" si="66">SUM(CK68:CM68)</f>
        <v>61.754938022543953</v>
      </c>
      <c r="CO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229</v>
      </c>
      <c r="CR68" s="12">
        <f>VLOOKUP(A68,'Données projet'!$A$139:$I$159,9,0)</f>
        <v>7.2</v>
      </c>
      <c r="CS68" s="12">
        <f t="array" ref="CS68">INDEX(CR:CR,MIN(IF(ISNUMBER(CR68:CR264),ROW(CR68:CR264),"")))</f>
        <v>7.2</v>
      </c>
      <c r="CT68" s="12">
        <f>IF('Données projet'!$A$140&gt;35,CT67+CS68-DB67,IF(A68&lt;'Données projet'!$A$140,$CQ$205^A68,IF(A68='Données projet'!$A$140,'Données projet'!$B$140,CT67+CS68-DB67)))</f>
        <v>228.99999999999991</v>
      </c>
      <c r="CU68" s="17">
        <f>CT68*VLOOKUP('Données projet'!$B$13,Paramètres!$A$1:$I$89,3,0)*VLOOKUP('Données projet'!$B$13,Paramètres!$A$1:$I$89,5,0)</f>
        <v>207.19919999999991</v>
      </c>
      <c r="CV68" s="13">
        <f t="shared" si="41"/>
        <v>51.3230629736655</v>
      </c>
      <c r="CW68" s="20">
        <f t="shared" ref="CW68:CW131" si="67">(CU68+CV68)*0.475*44/12</f>
        <v>450.25960801246725</v>
      </c>
      <c r="CX68" s="57">
        <f t="shared" ref="CX68:CX131" si="68">CW68+(CO68+CP68)*44/12</f>
        <v>743.59294134580057</v>
      </c>
      <c r="CY68" s="57">
        <f ca="1">AVERAGE(OFFSET($CX$3,0,0,'Données projet'!$E$13+1,1))-AVERAGE(OFFSET($H$3,0,0,'Données projet'!$E$13+1,1))</f>
        <v>364.3481978218424</v>
      </c>
      <c r="CZ68" s="57">
        <f t="shared" si="42"/>
        <v>231.36959598460686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21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47.902123115381436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47.902123115381436</v>
      </c>
      <c r="DJ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255.00000000000006</v>
      </c>
      <c r="DP68" s="17">
        <f>DO68*VLOOKUP('Données projet'!$B$14,Paramètres!$A$1:$I$89,3,0)*VLOOKUP('Données projet'!$B$14,Paramètres!$A$1:$I$89,5,0)</f>
        <v>186.96600000000004</v>
      </c>
      <c r="DQ68" s="13">
        <f t="shared" si="43"/>
        <v>46.868551400324648</v>
      </c>
      <c r="DR68" s="20">
        <f t="shared" ref="DR68:DR131" si="70">(DP68+DQ68)*0.475*44/12</f>
        <v>407.26184368889881</v>
      </c>
      <c r="DS68" s="57">
        <f t="shared" ref="DS68:DS131" si="71">DR68+(DJ68+DK68)*44/12</f>
        <v>700.59517702223206</v>
      </c>
      <c r="DT68" s="57">
        <f ca="1">AVERAGE(OFFSET($DS$3,0,0,'Données projet'!$E$14+1,1))-AVERAGE(OFFSET($H$3,0,0,'Données projet'!$E$14+1,1))</f>
        <v>239.25212250019609</v>
      </c>
      <c r="DU68" s="57">
        <f t="shared" si="44"/>
        <v>213.58492101729695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294</v>
      </c>
      <c r="EH68" s="12">
        <f>VLOOKUP(A68,'Données projet'!$A$191:$I$211,9,0)</f>
        <v>10.4</v>
      </c>
      <c r="EI68" s="12">
        <f t="array" ref="EI68">INDEX(EH:EH,MIN(IF(ISNUMBER(EH68:EH264),ROW(EH68:EH264),"")))</f>
        <v>10.4</v>
      </c>
      <c r="EJ68" s="12">
        <f>IF('Données projet'!$A$192&gt;35,EJ67+EI68-ER67,IF(A68&lt;'Données projet'!$A$192,$EG$205^A68,IF(A68='Données projet'!$A$192,'Données projet'!$B$192,EJ67+EI68-ER67)))</f>
        <v>293.99999999999994</v>
      </c>
      <c r="EK68" s="17">
        <f>EJ68*VLOOKUP('Données projet'!$B$15,Paramètres!$A$1:$I$89,3,0)*VLOOKUP('Données projet'!$B$15,Paramètres!$A$1:$I$89,5,0)</f>
        <v>252.25199999999998</v>
      </c>
      <c r="EL68" s="13">
        <f t="shared" si="45"/>
        <v>61.067920784150822</v>
      </c>
      <c r="EM68" s="20">
        <f t="shared" ref="EM68:EM131" si="73">(EK68+EL68)*0.475*44/12</f>
        <v>545.69886203239594</v>
      </c>
      <c r="EN68" s="57">
        <f t="shared" ref="EN68:EN131" si="74">EM68+(EE68+EF68)*44/12</f>
        <v>839.03219536572919</v>
      </c>
      <c r="EO68" s="57">
        <f ca="1">AVERAGE(OFFSET($EN$3,0,0,'Données projet'!$E$15+1,1))-AVERAGE(OFFSET($H$3,0,0,'Données projet'!$E$15+1,1))</f>
        <v>447.10969593632467</v>
      </c>
      <c r="EP68" s="57">
        <f t="shared" si="46"/>
        <v>256.77417912163997</v>
      </c>
      <c r="EQ68" s="15">
        <f>IF(ISNA(VLOOKUP(A68,'Données projet'!$A$191:$I$211,3,0)),0,VLOOKUP(A68,'Données projet'!$A$191:$I$211,3,0))</f>
        <v>9</v>
      </c>
      <c r="ER68" s="15">
        <f>IF(ISNA(VLOOKUP(A68,'Données projet'!$A$191:$I$211,4,0)),0,VLOOKUP(A68,'Données projet'!$A$191:$I$211,4,0))</f>
        <v>28</v>
      </c>
      <c r="ES68" s="16">
        <f>IF(ISNA(VLOOKUP(A68,'Données projet'!$A$191:$I$211,5,0)),0%,VLOOKUP(A68,'Données projet'!$A$191:$I$211,5,0)*VLOOKUP('Données projet'!$B$15,Paramètres!$A$1:$I$89,7,0))</f>
        <v>0.53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74.650996461554115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74.650996461554115</v>
      </c>
      <c r="EZ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7" t="e">
        <f t="shared" ref="FI68:FI131" si="77">FH68+(EZ68+FA68)*44/12</f>
        <v>#N/A</v>
      </c>
      <c r="FJ68" s="57" t="e">
        <f ca="1">AVERAGE(OFFSET($FI$3,0,0,'Données projet'!$E$16+1,1))-AVERAGE(OFFSET($H$3,0,0,'Données projet'!$E$16+1,1))</f>
        <v>#N/A</v>
      </c>
      <c r="FK68" s="57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7" t="e">
        <f t="shared" ref="GD68:GD131" si="80">GC68+(FU68+FV68)*44/12</f>
        <v>#N/A</v>
      </c>
      <c r="GE68" s="57" t="e">
        <f ca="1">AVERAGE(OFFSET($GD$3,0,0,'Données projet'!$E$17+1,1))-AVERAGE(OFFSET($H$3,0,0,'Données projet'!$E$17+1,1))</f>
        <v>#N/A</v>
      </c>
      <c r="GF68" s="57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7" t="e">
        <f t="shared" ref="GY68:GY131" si="83">GX68+(GP68+GQ68)*44/12</f>
        <v>#N/A</v>
      </c>
      <c r="GZ68" s="57" t="e">
        <f ca="1">AVERAGE(OFFSET($GY$3,0,0,'Données projet'!$E$18+1,1))-AVERAGE(OFFSET($H$3,0,0,'Données projet'!$E$18+1,1))</f>
        <v>#N/A</v>
      </c>
      <c r="HA68" s="57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0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4">
        <f t="shared" si="56"/>
        <v>256.66666666666669</v>
      </c>
      <c r="I69" s="6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636.99999999999977</v>
      </c>
      <c r="O69" s="13">
        <f>N69*VLOOKUP('Données projet'!$B$9,Paramètres!$A$1:$I$89,3,0)*VLOOKUP('Données projet'!$B$9,Paramètres!$A$1:$I$89,5,0)</f>
        <v>356.08299999999991</v>
      </c>
      <c r="P69" s="13">
        <f t="shared" ref="P69:P132" si="87">EXP(-1.0587+0.8836*LN(O69)+0.284)</f>
        <v>82.813805255716545</v>
      </c>
      <c r="Q69" s="20">
        <f t="shared" si="54"/>
        <v>764.41193582037283</v>
      </c>
      <c r="R69" s="57">
        <f t="shared" si="55"/>
        <v>1057.7452691537062</v>
      </c>
      <c r="S69" s="57">
        <f ca="1">AVERAGE(OFFSET($R$3,0,0,'Données projet'!$E$9+1,1))-AVERAGE(OFFSET($H$3,0,0,'Données projet'!$E$9+1,1))</f>
        <v>443.34220761968419</v>
      </c>
      <c r="T69" s="57">
        <f t="shared" ref="T69:T132" si="88">$T$3</f>
        <v>546.58234447298014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86.781172743817677</v>
      </c>
      <c r="AA69" s="21">
        <f>EXP(-LN(2)/25)*AA68+(1-EXP(-LN(2)/25))/(LN(2)/25)*Calculateur!V69*Calculateur!X69*VLOOKUP('Données projet'!$B$9,Paramètres!$A$1:$I$89,3,0)*0.475*44/12</f>
        <v>8.085373034707743</v>
      </c>
      <c r="AB69" s="21">
        <f>EXP(-LN(2)/2)*AB68+(1-EXP(-LN(2)/2))/(LN(2)/2)*V69*Y69*VLOOKUP('Données projet'!$B$9,Paramètres!$A$1:$I$89,3,0)*0.475*44/12</f>
        <v>2.3047625887848966E-5</v>
      </c>
      <c r="AC69" s="22">
        <f t="shared" si="57"/>
        <v>94.866568826151308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20.399999999999999</v>
      </c>
      <c r="AI69" s="13">
        <f>IF('Données projet'!$A$62&gt;35,AI68+AH69-AQ68,IF(A69&lt;'Données projet'!$A$62,$AF$205^A69,IF(A69='Données projet'!$A$62,'Données projet'!$B$62,AI68+AH69-AQ68)))</f>
        <v>806.39999999999941</v>
      </c>
      <c r="AJ69" s="13">
        <f>AI69*VLOOKUP('Données projet'!$B$10,Paramètres!$A$1:$I$89,3,0)*VLOOKUP('Données projet'!$B$10,Paramètres!$A$1:$I$89,5,0)</f>
        <v>377.39519999999976</v>
      </c>
      <c r="AK69" s="13">
        <f t="shared" ref="AK69:AK132" si="89">EXP(-1.0587+0.8836*LN(AJ69)+0.284)</f>
        <v>87.178489377520606</v>
      </c>
      <c r="AL69" s="20">
        <f t="shared" si="58"/>
        <v>809.13250899918137</v>
      </c>
      <c r="AM69" s="57">
        <f t="shared" si="59"/>
        <v>1102.4658423325147</v>
      </c>
      <c r="AN69" s="57">
        <f ca="1">AVERAGE(OFFSET($AM$3,0,0,'Données projet'!$E$10+1,1))-AVERAGE(OFFSET($H$3,0,0,'Données projet'!$E$10+1,1))</f>
        <v>524.3999528951972</v>
      </c>
      <c r="AO69" s="57">
        <f t="shared" ref="AO69:AO132" si="90">$AO$3</f>
        <v>459.3547783500515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129.94945474512772</v>
      </c>
      <c r="AV69" s="21">
        <f>EXP(-LN(2)/25)*AV68+(1-EXP(-LN(2)/25))/(LN(2)/25)*Calculateur!AQ69*Calculateur!AS69*VLOOKUP('Données projet'!$B$10,Paramètres!$A$1:$I$89,3,0)*0.475*44/12</f>
        <v>19.696501133343805</v>
      </c>
      <c r="AW69" s="21">
        <f>EXP(-LN(2)/2)*AW68+(1-EXP(-LN(2)/2))/(LN(2)/2)*AQ69*AT69*VLOOKUP('Données projet'!$B$10,Paramètres!$A$1:$I$89,3,0)*0.475*44/12</f>
        <v>4.5480369922461256E-6</v>
      </c>
      <c r="AX69" s="21">
        <f t="shared" si="60"/>
        <v>149.64596042650854</v>
      </c>
      <c r="AY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21.6</v>
      </c>
      <c r="BD69" s="12">
        <f>IF('Données projet'!$A$88&gt;35,BD68+BC69-BL68,IF(A69&lt;'Données projet'!$A$88,$BA$205^A69,IF(A69='Données projet'!$A$88,'Données projet'!$B$88,BD68+BC69-BL68)))</f>
        <v>745.6</v>
      </c>
      <c r="BE69" s="13">
        <f>BD69*VLOOKUP('Données projet'!$B$11,Paramètres!$A$1:$I$89,3,0)*VLOOKUP('Données projet'!$B$11,Paramètres!$A$1:$I$89,5,0)</f>
        <v>358.63360000000006</v>
      </c>
      <c r="BF69" s="13">
        <f t="shared" ref="BF69:BF132" si="91">EXP(-1.0587+0.8836*LN(BE69)+0.284)</f>
        <v>83.337730055787091</v>
      </c>
      <c r="BG69" s="20">
        <f t="shared" si="61"/>
        <v>769.76673318049586</v>
      </c>
      <c r="BH69" s="57">
        <f t="shared" si="62"/>
        <v>1063.1000665138292</v>
      </c>
      <c r="BI69" s="57">
        <f ca="1">AVERAGE(OFFSET($BH$3,0,0,'Données projet'!$E$11+1,1))-AVERAGE(OFFSET($H$3,0,0,'Données projet'!$E$11+1,1))</f>
        <v>495.6473104257044</v>
      </c>
      <c r="BJ69" s="57">
        <f t="shared" ref="BJ69:BJ132" si="92">$BJ$3</f>
        <v>430.92527296485201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130.78773351135317</v>
      </c>
      <c r="BQ69" s="21">
        <f>EXP(-LN(2)/25)*BQ68+(1-EXP(-LN(2)/25))/(LN(2)/25)*Calculateur!BL69*Calculateur!BN69*VLOOKUP('Données projet'!$B$11,Paramètres!$A$1:$I$89,3,0)*0.475*44/12</f>
        <v>18.556657317756777</v>
      </c>
      <c r="BR69" s="21">
        <f>EXP(-LN(2)/2)*BR68+(1-EXP(-LN(2)/2))/(LN(2)/2)*BL69*BO69*VLOOKUP('Données projet'!$B$11,Paramètres!$A$1:$I$89,3,0)*0.475*44/12</f>
        <v>2.7916384470152728E-6</v>
      </c>
      <c r="BS69" s="22">
        <f t="shared" si="63"/>
        <v>149.34439362074841</v>
      </c>
      <c r="BT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7" t="e">
        <f t="shared" si="65"/>
        <v>#NUM!</v>
      </c>
      <c r="CD69" s="57">
        <f ca="1">AVERAGE(OFFSET($CC$3,0,0,'Données projet'!$E$12+1,1))-AVERAGE(OFFSET($H$3,0,0,'Données projet'!$E$12+1,1))</f>
        <v>187.80389738728508</v>
      </c>
      <c r="CE69" s="57">
        <f t="shared" ref="CE69:CE132" si="94">$CE$3</f>
        <v>439.28159165815265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60.54395482744858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4.7077910991532647E-6</v>
      </c>
      <c r="CN69" s="22">
        <f t="shared" si="66"/>
        <v>60.543959535239679</v>
      </c>
      <c r="CO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6.8</v>
      </c>
      <c r="CT69" s="12">
        <f>IF('Données projet'!$A$140&gt;35,CT68+CS69-DB68,IF(A69&lt;'Données projet'!$A$140,$CQ$205^A69,IF(A69='Données projet'!$A$140,'Données projet'!$B$140,CT68+CS69-DB68)))</f>
        <v>214.79999999999993</v>
      </c>
      <c r="CU69" s="17">
        <f>CT69*VLOOKUP('Données projet'!$B$13,Paramètres!$A$1:$I$89,3,0)*VLOOKUP('Données projet'!$B$13,Paramètres!$A$1:$I$89,5,0)</f>
        <v>194.35103999999993</v>
      </c>
      <c r="CV69" s="13">
        <f t="shared" ref="CV69:CV132" si="95">EXP(-1.0587+0.8836*LN(CU69)+0.284)</f>
        <v>48.500634729810159</v>
      </c>
      <c r="CW69" s="20">
        <f t="shared" si="67"/>
        <v>422.96666682108594</v>
      </c>
      <c r="CX69" s="57">
        <f t="shared" si="68"/>
        <v>716.30000015441919</v>
      </c>
      <c r="CY69" s="57">
        <f ca="1">AVERAGE(OFFSET($CX$3,0,0,'Données projet'!$E$13+1,1))-AVERAGE(OFFSET($H$3,0,0,'Données projet'!$E$13+1,1))</f>
        <v>364.3481978218424</v>
      </c>
      <c r="CZ69" s="57">
        <f t="shared" ref="CZ69:CZ132" si="96">$CZ$3</f>
        <v>231.36959598460686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46.962791698498926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46.962791698498926</v>
      </c>
      <c r="DJ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255.00000000000006</v>
      </c>
      <c r="DP69" s="17">
        <f>DO69*VLOOKUP('Données projet'!$B$14,Paramètres!$A$1:$I$89,3,0)*VLOOKUP('Données projet'!$B$14,Paramètres!$A$1:$I$89,5,0)</f>
        <v>186.96600000000004</v>
      </c>
      <c r="DQ69" s="13">
        <f t="shared" ref="DQ69:DQ132" si="97">EXP(-1.0587+0.8836*LN(DP69)+0.284)</f>
        <v>46.868551400324648</v>
      </c>
      <c r="DR69" s="20">
        <f t="shared" si="70"/>
        <v>407.26184368889881</v>
      </c>
      <c r="DS69" s="57">
        <f t="shared" si="71"/>
        <v>700.59517702223206</v>
      </c>
      <c r="DT69" s="57">
        <f ca="1">AVERAGE(OFFSET($DS$3,0,0,'Données projet'!$E$14+1,1))-AVERAGE(OFFSET($H$3,0,0,'Données projet'!$E$14+1,1))</f>
        <v>239.25212250019609</v>
      </c>
      <c r="DU69" s="57">
        <f t="shared" ref="DU69:DU132" si="98">$DU$3</f>
        <v>213.58492101729695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10</v>
      </c>
      <c r="EJ69" s="12">
        <f>IF('Données projet'!$A$192&gt;35,EJ68+EI69-ER68,IF(A69&lt;'Données projet'!$A$192,$EG$205^A69,IF(A69='Données projet'!$A$192,'Données projet'!$B$192,EJ68+EI69-ER68)))</f>
        <v>275.99999999999994</v>
      </c>
      <c r="EK69" s="17">
        <f>EJ69*VLOOKUP('Données projet'!$B$15,Paramètres!$A$1:$I$89,3,0)*VLOOKUP('Données projet'!$B$15,Paramètres!$A$1:$I$89,5,0)</f>
        <v>236.80799999999999</v>
      </c>
      <c r="EL69" s="13">
        <f t="shared" ref="EL69:EL132" si="99">EXP(-1.0587+0.8836*LN(EK69)+0.284)</f>
        <v>57.752221878398714</v>
      </c>
      <c r="EM69" s="20">
        <f t="shared" si="73"/>
        <v>513.02571977154435</v>
      </c>
      <c r="EN69" s="57">
        <f t="shared" si="74"/>
        <v>806.3590531048776</v>
      </c>
      <c r="EO69" s="57">
        <f ca="1">AVERAGE(OFFSET($EN$3,0,0,'Données projet'!$E$15+1,1))-AVERAGE(OFFSET($H$3,0,0,'Données projet'!$E$15+1,1))</f>
        <v>447.10969593632467</v>
      </c>
      <c r="EP69" s="57">
        <f t="shared" ref="EP69:EP132" si="100">$EP$3</f>
        <v>256.77417912163997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73.187135953554915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73.187135953554915</v>
      </c>
      <c r="EZ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7" t="e">
        <f t="shared" si="77"/>
        <v>#N/A</v>
      </c>
      <c r="FJ69" s="57" t="e">
        <f ca="1">AVERAGE(OFFSET($FI$3,0,0,'Données projet'!$E$16+1,1))-AVERAGE(OFFSET($H$3,0,0,'Données projet'!$E$16+1,1))</f>
        <v>#N/A</v>
      </c>
      <c r="FK69" s="57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7" t="e">
        <f t="shared" si="80"/>
        <v>#N/A</v>
      </c>
      <c r="GE69" s="57" t="e">
        <f ca="1">AVERAGE(OFFSET($GD$3,0,0,'Données projet'!$E$17+1,1))-AVERAGE(OFFSET($H$3,0,0,'Données projet'!$E$17+1,1))</f>
        <v>#N/A</v>
      </c>
      <c r="GF69" s="57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7" t="e">
        <f t="shared" si="83"/>
        <v>#N/A</v>
      </c>
      <c r="GZ69" s="57" t="e">
        <f ca="1">AVERAGE(OFFSET($GY$3,0,0,'Données projet'!$E$18+1,1))-AVERAGE(OFFSET($H$3,0,0,'Données projet'!$E$18+1,1))</f>
        <v>#N/A</v>
      </c>
      <c r="HA69" s="57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0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4">
        <f t="shared" si="56"/>
        <v>256.66666666666669</v>
      </c>
      <c r="I70" s="6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636.99999999999977</v>
      </c>
      <c r="O70" s="13">
        <f>N70*VLOOKUP('Données projet'!$B$9,Paramètres!$A$1:$I$89,3,0)*VLOOKUP('Données projet'!$B$9,Paramètres!$A$1:$I$89,5,0)</f>
        <v>356.08299999999991</v>
      </c>
      <c r="P70" s="13">
        <f t="shared" si="87"/>
        <v>82.813805255716545</v>
      </c>
      <c r="Q70" s="20">
        <f t="shared" si="54"/>
        <v>764.41193582037283</v>
      </c>
      <c r="R70" s="57">
        <f t="shared" si="55"/>
        <v>1057.7452691537062</v>
      </c>
      <c r="S70" s="57">
        <f ca="1">AVERAGE(OFFSET($R$3,0,0,'Données projet'!$E$9+1,1))-AVERAGE(OFFSET($H$3,0,0,'Données projet'!$E$9+1,1))</f>
        <v>443.34220761968419</v>
      </c>
      <c r="T70" s="57">
        <f t="shared" si="88"/>
        <v>546.58234447298014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85.079446877600262</v>
      </c>
      <c r="AA70" s="21">
        <f>EXP(-LN(2)/25)*AA69+(1-EXP(-LN(2)/25))/(LN(2)/25)*Calculateur!V70*Calculateur!X70*VLOOKUP('Données projet'!$B$9,Paramètres!$A$1:$I$89,3,0)*0.475*44/12</f>
        <v>7.8642780838823709</v>
      </c>
      <c r="AB70" s="21">
        <f>EXP(-LN(2)/2)*AB69+(1-EXP(-LN(2)/2))/(LN(2)/2)*V70*Y70*VLOOKUP('Données projet'!$B$9,Paramètres!$A$1:$I$89,3,0)*0.475*44/12</f>
        <v>1.6297132555548626E-5</v>
      </c>
      <c r="AC70" s="22">
        <f t="shared" si="57"/>
        <v>92.943741258615191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20.399999999999999</v>
      </c>
      <c r="AI70" s="13">
        <f>IF('Données projet'!$A$62&gt;35,AI69+AH70-AQ69,IF(A70&lt;'Données projet'!$A$62,$AF$205^A70,IF(A70='Données projet'!$A$62,'Données projet'!$B$62,AI69+AH70-AQ69)))</f>
        <v>826.79999999999939</v>
      </c>
      <c r="AJ70" s="13">
        <f>AI70*VLOOKUP('Données projet'!$B$10,Paramètres!$A$1:$I$89,3,0)*VLOOKUP('Données projet'!$B$10,Paramètres!$A$1:$I$89,5,0)</f>
        <v>386.94239999999968</v>
      </c>
      <c r="AK70" s="13">
        <f t="shared" si="89"/>
        <v>89.124345618182502</v>
      </c>
      <c r="AL70" s="20">
        <f t="shared" si="58"/>
        <v>829.14958195166719</v>
      </c>
      <c r="AM70" s="57">
        <f t="shared" si="59"/>
        <v>1122.4829152850004</v>
      </c>
      <c r="AN70" s="57">
        <f ca="1">AVERAGE(OFFSET($AM$3,0,0,'Données projet'!$E$10+1,1))-AVERAGE(OFFSET($H$3,0,0,'Données projet'!$E$10+1,1))</f>
        <v>524.3999528951972</v>
      </c>
      <c r="AO70" s="57">
        <f t="shared" si="90"/>
        <v>459.3547783500515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127.40122519891676</v>
      </c>
      <c r="AV70" s="21">
        <f>EXP(-LN(2)/25)*AV69+(1-EXP(-LN(2)/25))/(LN(2)/25)*Calculateur!AQ70*Calculateur!AS70*VLOOKUP('Données projet'!$B$10,Paramètres!$A$1:$I$89,3,0)*0.475*44/12</f>
        <v>19.15789927405854</v>
      </c>
      <c r="AW70" s="21">
        <f>EXP(-LN(2)/2)*AW69+(1-EXP(-LN(2)/2))/(LN(2)/2)*AQ70*AT70*VLOOKUP('Données projet'!$B$10,Paramètres!$A$1:$I$89,3,0)*0.475*44/12</f>
        <v>3.2159477983045049E-6</v>
      </c>
      <c r="AX70" s="21">
        <f t="shared" si="60"/>
        <v>146.5591276889231</v>
      </c>
      <c r="AY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21.6</v>
      </c>
      <c r="BD70" s="12">
        <f>IF('Données projet'!$A$88&gt;35,BD69+BC70-BL69,IF(A70&lt;'Données projet'!$A$88,$BA$205^A70,IF(A70='Données projet'!$A$88,'Données projet'!$B$88,BD69+BC70-BL69)))</f>
        <v>767.2</v>
      </c>
      <c r="BE70" s="13">
        <f>BD70*VLOOKUP('Données projet'!$B$11,Paramètres!$A$1:$I$89,3,0)*VLOOKUP('Données projet'!$B$11,Paramètres!$A$1:$I$89,5,0)</f>
        <v>369.02320000000003</v>
      </c>
      <c r="BF70" s="13">
        <f t="shared" si="91"/>
        <v>85.467438502884093</v>
      </c>
      <c r="BG70" s="20">
        <f t="shared" si="61"/>
        <v>791.57119539252324</v>
      </c>
      <c r="BH70" s="57">
        <f t="shared" si="62"/>
        <v>1084.9045287258566</v>
      </c>
      <c r="BI70" s="57">
        <f ca="1">AVERAGE(OFFSET($BH$3,0,0,'Données projet'!$E$11+1,1))-AVERAGE(OFFSET($H$3,0,0,'Données projet'!$E$11+1,1))</f>
        <v>495.6473104257044</v>
      </c>
      <c r="BJ70" s="57">
        <f t="shared" si="92"/>
        <v>430.92527296485201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128.22306582983609</v>
      </c>
      <c r="BQ70" s="21">
        <f>EXP(-LN(2)/25)*BQ69+(1-EXP(-LN(2)/25))/(LN(2)/25)*Calculateur!BL70*Calculateur!BN70*VLOOKUP('Données projet'!$B$11,Paramètres!$A$1:$I$89,3,0)*0.475*44/12</f>
        <v>18.049224547550523</v>
      </c>
      <c r="BR70" s="21">
        <f>EXP(-LN(2)/2)*BR69+(1-EXP(-LN(2)/2))/(LN(2)/2)*BL70*BO70*VLOOKUP('Données projet'!$B$11,Paramètres!$A$1:$I$89,3,0)*0.475*44/12</f>
        <v>1.9739864765055818E-6</v>
      </c>
      <c r="BS70" s="22">
        <f t="shared" si="63"/>
        <v>146.2722923513731</v>
      </c>
      <c r="BT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7" t="e">
        <f t="shared" si="65"/>
        <v>#NUM!</v>
      </c>
      <c r="CD70" s="57">
        <f ca="1">AVERAGE(OFFSET($CC$3,0,0,'Données projet'!$E$12+1,1))-AVERAGE(OFFSET($H$3,0,0,'Données projet'!$E$12+1,1))</f>
        <v>187.80389738728508</v>
      </c>
      <c r="CE70" s="57">
        <f t="shared" si="94"/>
        <v>439.28159165815265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59.356724801448408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3.3289110106209437E-6</v>
      </c>
      <c r="CN70" s="22">
        <f t="shared" si="66"/>
        <v>59.356728130359421</v>
      </c>
      <c r="CO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6.8</v>
      </c>
      <c r="CT70" s="12">
        <f>IF('Données projet'!$A$140&gt;35,CT69+CS70-DB69,IF(A70&lt;'Données projet'!$A$140,$CQ$205^A70,IF(A70='Données projet'!$A$140,'Données projet'!$B$140,CT69+CS70-DB69)))</f>
        <v>221.59999999999994</v>
      </c>
      <c r="CU70" s="17">
        <f>CT70*VLOOKUP('Données projet'!$B$13,Paramètres!$A$1:$I$89,3,0)*VLOOKUP('Données projet'!$B$13,Paramètres!$A$1:$I$89,5,0)</f>
        <v>200.50367999999995</v>
      </c>
      <c r="CV70" s="13">
        <f t="shared" si="95"/>
        <v>49.854845135229887</v>
      </c>
      <c r="CW70" s="20">
        <f t="shared" si="67"/>
        <v>436.04109794385857</v>
      </c>
      <c r="CX70" s="57">
        <f t="shared" si="68"/>
        <v>729.37443127719189</v>
      </c>
      <c r="CY70" s="57">
        <f ca="1">AVERAGE(OFFSET($CX$3,0,0,'Données projet'!$E$13+1,1))-AVERAGE(OFFSET($H$3,0,0,'Données projet'!$E$13+1,1))</f>
        <v>364.3481978218424</v>
      </c>
      <c r="CZ70" s="57">
        <f t="shared" si="96"/>
        <v>231.36959598460686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46.041879997765889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46.041879997765889</v>
      </c>
      <c r="DJ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255.00000000000006</v>
      </c>
      <c r="DP70" s="17">
        <f>DO70*VLOOKUP('Données projet'!$B$14,Paramètres!$A$1:$I$89,3,0)*VLOOKUP('Données projet'!$B$14,Paramètres!$A$1:$I$89,5,0)</f>
        <v>186.96600000000004</v>
      </c>
      <c r="DQ70" s="13">
        <f t="shared" si="97"/>
        <v>46.868551400324648</v>
      </c>
      <c r="DR70" s="20">
        <f t="shared" si="70"/>
        <v>407.26184368889881</v>
      </c>
      <c r="DS70" s="57">
        <f t="shared" si="71"/>
        <v>700.59517702223206</v>
      </c>
      <c r="DT70" s="57">
        <f ca="1">AVERAGE(OFFSET($DS$3,0,0,'Données projet'!$E$14+1,1))-AVERAGE(OFFSET($H$3,0,0,'Données projet'!$E$14+1,1))</f>
        <v>239.25212250019609</v>
      </c>
      <c r="DU70" s="57">
        <f t="shared" si="98"/>
        <v>213.58492101729695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10</v>
      </c>
      <c r="EJ70" s="12">
        <f>IF('Données projet'!$A$192&gt;35,EJ69+EI70-ER69,IF(A70&lt;'Données projet'!$A$192,$EG$205^A70,IF(A70='Données projet'!$A$192,'Données projet'!$B$192,EJ69+EI70-ER69)))</f>
        <v>285.99999999999994</v>
      </c>
      <c r="EK70" s="17">
        <f>EJ70*VLOOKUP('Données projet'!$B$15,Paramètres!$A$1:$I$89,3,0)*VLOOKUP('Données projet'!$B$15,Paramètres!$A$1:$I$89,5,0)</f>
        <v>245.38799999999998</v>
      </c>
      <c r="EL70" s="13">
        <f t="shared" si="99"/>
        <v>59.597282764919569</v>
      </c>
      <c r="EM70" s="20">
        <f t="shared" si="73"/>
        <v>531.18270081556818</v>
      </c>
      <c r="EN70" s="57">
        <f t="shared" si="74"/>
        <v>824.51603414890155</v>
      </c>
      <c r="EO70" s="57">
        <f ca="1">AVERAGE(OFFSET($EN$3,0,0,'Données projet'!$E$15+1,1))-AVERAGE(OFFSET($H$3,0,0,'Données projet'!$E$15+1,1))</f>
        <v>447.10969593632467</v>
      </c>
      <c r="EP70" s="57">
        <f t="shared" si="100"/>
        <v>256.77417912163997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71.751980857250828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71.751980857250828</v>
      </c>
      <c r="EZ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7" t="e">
        <f t="shared" si="77"/>
        <v>#N/A</v>
      </c>
      <c r="FJ70" s="57" t="e">
        <f ca="1">AVERAGE(OFFSET($FI$3,0,0,'Données projet'!$E$16+1,1))-AVERAGE(OFFSET($H$3,0,0,'Données projet'!$E$16+1,1))</f>
        <v>#N/A</v>
      </c>
      <c r="FK70" s="57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7" t="e">
        <f t="shared" si="80"/>
        <v>#N/A</v>
      </c>
      <c r="GE70" s="57" t="e">
        <f ca="1">AVERAGE(OFFSET($GD$3,0,0,'Données projet'!$E$17+1,1))-AVERAGE(OFFSET($H$3,0,0,'Données projet'!$E$17+1,1))</f>
        <v>#N/A</v>
      </c>
      <c r="GF70" s="57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7" t="e">
        <f t="shared" si="83"/>
        <v>#N/A</v>
      </c>
      <c r="GZ70" s="57" t="e">
        <f ca="1">AVERAGE(OFFSET($GY$3,0,0,'Données projet'!$E$18+1,1))-AVERAGE(OFFSET($H$3,0,0,'Données projet'!$E$18+1,1))</f>
        <v>#N/A</v>
      </c>
      <c r="HA70" s="57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0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4">
        <f t="shared" si="56"/>
        <v>256.66666666666669</v>
      </c>
      <c r="I71" s="6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636.99999999999977</v>
      </c>
      <c r="O71" s="13">
        <f>N71*VLOOKUP('Données projet'!$B$9,Paramètres!$A$1:$I$89,3,0)*VLOOKUP('Données projet'!$B$9,Paramètres!$A$1:$I$89,5,0)</f>
        <v>356.08299999999991</v>
      </c>
      <c r="P71" s="13">
        <f t="shared" si="87"/>
        <v>82.813805255716545</v>
      </c>
      <c r="Q71" s="20">
        <f t="shared" si="54"/>
        <v>764.41193582037283</v>
      </c>
      <c r="R71" s="57">
        <f t="shared" si="55"/>
        <v>1057.7452691537062</v>
      </c>
      <c r="S71" s="57">
        <f ca="1">AVERAGE(OFFSET($R$3,0,0,'Données projet'!$E$9+1,1))-AVERAGE(OFFSET($H$3,0,0,'Données projet'!$E$9+1,1))</f>
        <v>443.34220761968419</v>
      </c>
      <c r="T71" s="57">
        <f t="shared" si="88"/>
        <v>546.58234447298014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83.411090817669077</v>
      </c>
      <c r="AA71" s="21">
        <f>EXP(-LN(2)/25)*AA70+(1-EXP(-LN(2)/25))/(LN(2)/25)*Calculateur!V71*Calculateur!X71*VLOOKUP('Données projet'!$B$9,Paramètres!$A$1:$I$89,3,0)*0.475*44/12</f>
        <v>7.6492289861141973</v>
      </c>
      <c r="AB71" s="21">
        <f>EXP(-LN(2)/2)*AB70+(1-EXP(-LN(2)/2))/(LN(2)/2)*V71*Y71*VLOOKUP('Données projet'!$B$9,Paramètres!$A$1:$I$89,3,0)*0.475*44/12</f>
        <v>1.1523812943924483E-5</v>
      </c>
      <c r="AC71" s="22">
        <f t="shared" si="57"/>
        <v>91.060331327596217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20.399999999999999</v>
      </c>
      <c r="AI71" s="13">
        <f>IF('Données projet'!$A$62&gt;35,AI70+AH71-AQ70,IF(A71&lt;'Données projet'!$A$62,$AF$205^A71,IF(A71='Données projet'!$A$62,'Données projet'!$B$62,AI70+AH71-AQ70)))</f>
        <v>847.19999999999936</v>
      </c>
      <c r="AJ71" s="13">
        <f>AI71*VLOOKUP('Données projet'!$B$10,Paramètres!$A$1:$I$89,3,0)*VLOOKUP('Données projet'!$B$10,Paramètres!$A$1:$I$89,5,0)</f>
        <v>396.48959999999965</v>
      </c>
      <c r="AK71" s="13">
        <f t="shared" si="89"/>
        <v>91.064620801200675</v>
      </c>
      <c r="AL71" s="20">
        <f t="shared" si="58"/>
        <v>849.15693456209056</v>
      </c>
      <c r="AM71" s="57">
        <f t="shared" si="59"/>
        <v>1142.4902678954238</v>
      </c>
      <c r="AN71" s="57">
        <f ca="1">AVERAGE(OFFSET($AM$3,0,0,'Données projet'!$E$10+1,1))-AVERAGE(OFFSET($H$3,0,0,'Données projet'!$E$10+1,1))</f>
        <v>524.3999528951972</v>
      </c>
      <c r="AO71" s="57">
        <f t="shared" si="90"/>
        <v>459.3547783500515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124.90296487984044</v>
      </c>
      <c r="AV71" s="21">
        <f>EXP(-LN(2)/25)*AV70+(1-EXP(-LN(2)/25))/(LN(2)/25)*Calculateur!AQ71*Calculateur!AS71*VLOOKUP('Données projet'!$B$10,Paramètres!$A$1:$I$89,3,0)*0.475*44/12</f>
        <v>18.634025510939271</v>
      </c>
      <c r="AW71" s="21">
        <f>EXP(-LN(2)/2)*AW70+(1-EXP(-LN(2)/2))/(LN(2)/2)*AQ71*AT71*VLOOKUP('Données projet'!$B$10,Paramètres!$A$1:$I$89,3,0)*0.475*44/12</f>
        <v>2.2740184961230628E-6</v>
      </c>
      <c r="AX71" s="21">
        <f t="shared" si="60"/>
        <v>143.53699266479822</v>
      </c>
      <c r="AY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21.6</v>
      </c>
      <c r="BD71" s="12">
        <f>IF('Données projet'!$A$88&gt;35,BD70+BC71-BL70,IF(A71&lt;'Données projet'!$A$88,$BA$205^A71,IF(A71='Données projet'!$A$88,'Données projet'!$B$88,BD70+BC71-BL70)))</f>
        <v>788.80000000000007</v>
      </c>
      <c r="BE71" s="13">
        <f>BD71*VLOOKUP('Données projet'!$B$11,Paramètres!$A$1:$I$89,3,0)*VLOOKUP('Données projet'!$B$11,Paramètres!$A$1:$I$89,5,0)</f>
        <v>379.4128</v>
      </c>
      <c r="BF71" s="13">
        <f t="shared" si="91"/>
        <v>87.590177997731288</v>
      </c>
      <c r="BG71" s="20">
        <f t="shared" si="61"/>
        <v>813.36352001271541</v>
      </c>
      <c r="BH71" s="57">
        <f t="shared" si="62"/>
        <v>1106.6968533460488</v>
      </c>
      <c r="BI71" s="57">
        <f ca="1">AVERAGE(OFFSET($BH$3,0,0,'Données projet'!$E$11+1,1))-AVERAGE(OFFSET($H$3,0,0,'Données projet'!$E$11+1,1))</f>
        <v>495.6473104257044</v>
      </c>
      <c r="BJ71" s="57">
        <f t="shared" si="92"/>
        <v>430.92527296485201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125.70868971726073</v>
      </c>
      <c r="BQ71" s="21">
        <f>EXP(-LN(2)/25)*BQ70+(1-EXP(-LN(2)/25))/(LN(2)/25)*Calculateur!BL71*Calculateur!BN71*VLOOKUP('Données projet'!$B$11,Paramètres!$A$1:$I$89,3,0)*0.475*44/12</f>
        <v>17.555667553130288</v>
      </c>
      <c r="BR71" s="21">
        <f>EXP(-LN(2)/2)*BR70+(1-EXP(-LN(2)/2))/(LN(2)/2)*BL71*BO71*VLOOKUP('Données projet'!$B$11,Paramètres!$A$1:$I$89,3,0)*0.475*44/12</f>
        <v>1.3958192235076364E-6</v>
      </c>
      <c r="BS71" s="22">
        <f t="shared" si="63"/>
        <v>143.26435866621023</v>
      </c>
      <c r="BT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7" t="e">
        <f t="shared" si="65"/>
        <v>#NUM!</v>
      </c>
      <c r="CD71" s="57">
        <f ca="1">AVERAGE(OFFSET($CC$3,0,0,'Données projet'!$E$12+1,1))-AVERAGE(OFFSET($H$3,0,0,'Données projet'!$E$12+1,1))</f>
        <v>187.80389738728508</v>
      </c>
      <c r="CE71" s="57">
        <f t="shared" si="94"/>
        <v>439.28159165815265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58.192775632119286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2.3538955495766324E-6</v>
      </c>
      <c r="CN71" s="22">
        <f t="shared" si="66"/>
        <v>58.192777986014832</v>
      </c>
      <c r="CO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6.8</v>
      </c>
      <c r="CT71" s="12">
        <f>IF('Données projet'!$A$140&gt;35,CT70+CS71-DB70,IF(A71&lt;'Données projet'!$A$140,$CQ$205^A71,IF(A71='Données projet'!$A$140,'Données projet'!$B$140,CT70+CS71-DB70)))</f>
        <v>228.39999999999995</v>
      </c>
      <c r="CU71" s="17">
        <f>CT71*VLOOKUP('Données projet'!$B$13,Paramètres!$A$1:$I$89,3,0)*VLOOKUP('Données projet'!$B$13,Paramètres!$A$1:$I$89,5,0)</f>
        <v>206.65631999999994</v>
      </c>
      <c r="CV71" s="13">
        <f t="shared" si="95"/>
        <v>51.20422634371338</v>
      </c>
      <c r="CW71" s="20">
        <f t="shared" si="67"/>
        <v>449.10711821530072</v>
      </c>
      <c r="CX71" s="57">
        <f t="shared" si="68"/>
        <v>742.44045154863397</v>
      </c>
      <c r="CY71" s="57">
        <f ca="1">AVERAGE(OFFSET($CX$3,0,0,'Données projet'!$E$13+1,1))-AVERAGE(OFFSET($H$3,0,0,'Données projet'!$E$13+1,1))</f>
        <v>364.3481978218424</v>
      </c>
      <c r="CZ71" s="57">
        <f t="shared" si="96"/>
        <v>231.36959598460686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45.139026813783552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45.139026813783552</v>
      </c>
      <c r="DJ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255.00000000000006</v>
      </c>
      <c r="DP71" s="17">
        <f>DO71*VLOOKUP('Données projet'!$B$14,Paramètres!$A$1:$I$89,3,0)*VLOOKUP('Données projet'!$B$14,Paramètres!$A$1:$I$89,5,0)</f>
        <v>186.96600000000004</v>
      </c>
      <c r="DQ71" s="13">
        <f t="shared" si="97"/>
        <v>46.868551400324648</v>
      </c>
      <c r="DR71" s="20">
        <f t="shared" si="70"/>
        <v>407.26184368889881</v>
      </c>
      <c r="DS71" s="57">
        <f t="shared" si="71"/>
        <v>700.59517702223206</v>
      </c>
      <c r="DT71" s="57">
        <f ca="1">AVERAGE(OFFSET($DS$3,0,0,'Données projet'!$E$14+1,1))-AVERAGE(OFFSET($H$3,0,0,'Données projet'!$E$14+1,1))</f>
        <v>239.25212250019609</v>
      </c>
      <c r="DU71" s="57">
        <f t="shared" si="98"/>
        <v>213.58492101729695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10</v>
      </c>
      <c r="EJ71" s="12">
        <f>IF('Données projet'!$A$192&gt;35,EJ70+EI71-ER70,IF(A71&lt;'Données projet'!$A$192,$EG$205^A71,IF(A71='Données projet'!$A$192,'Données projet'!$B$192,EJ70+EI71-ER70)))</f>
        <v>295.99999999999994</v>
      </c>
      <c r="EK71" s="17">
        <f>EJ71*VLOOKUP('Données projet'!$B$15,Paramètres!$A$1:$I$89,3,0)*VLOOKUP('Données projet'!$B$15,Paramètres!$A$1:$I$89,5,0)</f>
        <v>253.96799999999999</v>
      </c>
      <c r="EL71" s="13">
        <f t="shared" si="99"/>
        <v>61.434848029666512</v>
      </c>
      <c r="EM71" s="20">
        <f t="shared" si="73"/>
        <v>549.32662698500246</v>
      </c>
      <c r="EN71" s="57">
        <f t="shared" si="74"/>
        <v>842.65996031833583</v>
      </c>
      <c r="EO71" s="57">
        <f ca="1">AVERAGE(OFFSET($EN$3,0,0,'Données projet'!$E$15+1,1))-AVERAGE(OFFSET($H$3,0,0,'Données projet'!$E$15+1,1))</f>
        <v>447.10969593632467</v>
      </c>
      <c r="EP71" s="57">
        <f t="shared" si="100"/>
        <v>256.77417912163997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70.344968277027093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70.344968277027093</v>
      </c>
      <c r="EZ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7" t="e">
        <f t="shared" si="77"/>
        <v>#N/A</v>
      </c>
      <c r="FJ71" s="57" t="e">
        <f ca="1">AVERAGE(OFFSET($FI$3,0,0,'Données projet'!$E$16+1,1))-AVERAGE(OFFSET($H$3,0,0,'Données projet'!$E$16+1,1))</f>
        <v>#N/A</v>
      </c>
      <c r="FK71" s="57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7" t="e">
        <f t="shared" si="80"/>
        <v>#N/A</v>
      </c>
      <c r="GE71" s="57" t="e">
        <f ca="1">AVERAGE(OFFSET($GD$3,0,0,'Données projet'!$E$17+1,1))-AVERAGE(OFFSET($H$3,0,0,'Données projet'!$E$17+1,1))</f>
        <v>#N/A</v>
      </c>
      <c r="GF71" s="57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7" t="e">
        <f t="shared" si="83"/>
        <v>#N/A</v>
      </c>
      <c r="GZ71" s="57" t="e">
        <f ca="1">AVERAGE(OFFSET($GY$3,0,0,'Données projet'!$E$18+1,1))-AVERAGE(OFFSET($H$3,0,0,'Données projet'!$E$18+1,1))</f>
        <v>#N/A</v>
      </c>
      <c r="HA71" s="57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0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4">
        <f t="shared" si="56"/>
        <v>256.66666666666669</v>
      </c>
      <c r="I72" s="6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636.99999999999977</v>
      </c>
      <c r="O72" s="13">
        <f>N72*VLOOKUP('Données projet'!$B$9,Paramètres!$A$1:$I$89,3,0)*VLOOKUP('Données projet'!$B$9,Paramètres!$A$1:$I$89,5,0)</f>
        <v>356.08299999999991</v>
      </c>
      <c r="P72" s="13">
        <f t="shared" si="87"/>
        <v>82.813805255716545</v>
      </c>
      <c r="Q72" s="20">
        <f t="shared" si="54"/>
        <v>764.41193582037283</v>
      </c>
      <c r="R72" s="57">
        <f t="shared" si="55"/>
        <v>1057.7452691537062</v>
      </c>
      <c r="S72" s="57">
        <f ca="1">AVERAGE(OFFSET($R$3,0,0,'Données projet'!$E$9+1,1))-AVERAGE(OFFSET($H$3,0,0,'Données projet'!$E$9+1,1))</f>
        <v>443.34220761968419</v>
      </c>
      <c r="T72" s="57">
        <f t="shared" si="88"/>
        <v>546.58234447298014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81.775450202476421</v>
      </c>
      <c r="AA72" s="21">
        <f>EXP(-LN(2)/25)*AA71+(1-EXP(-LN(2)/25))/(LN(2)/25)*Calculateur!V72*Calculateur!X72*VLOOKUP('Données projet'!$B$9,Paramètres!$A$1:$I$89,3,0)*0.475*44/12</f>
        <v>7.4400604172334344</v>
      </c>
      <c r="AB72" s="21">
        <f>EXP(-LN(2)/2)*AB71+(1-EXP(-LN(2)/2))/(LN(2)/2)*V72*Y72*VLOOKUP('Données projet'!$B$9,Paramètres!$A$1:$I$89,3,0)*0.475*44/12</f>
        <v>8.1485662777743132E-6</v>
      </c>
      <c r="AC72" s="22">
        <f t="shared" si="57"/>
        <v>89.215518768276141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20.399999999999999</v>
      </c>
      <c r="AI72" s="13">
        <f>IF('Données projet'!$A$62&gt;35,AI71+AH72-AQ71,IF(A72&lt;'Données projet'!$A$62,$AF$205^A72,IF(A72='Données projet'!$A$62,'Données projet'!$B$62,AI71+AH72-AQ71)))</f>
        <v>867.59999999999934</v>
      </c>
      <c r="AJ72" s="13">
        <f>AI72*VLOOKUP('Données projet'!$B$10,Paramètres!$A$1:$I$89,3,0)*VLOOKUP('Données projet'!$B$10,Paramètres!$A$1:$I$89,5,0)</f>
        <v>406.03679999999969</v>
      </c>
      <c r="AK72" s="13">
        <f t="shared" si="89"/>
        <v>92.999464776643279</v>
      </c>
      <c r="AL72" s="20">
        <f t="shared" si="58"/>
        <v>869.15482781931985</v>
      </c>
      <c r="AM72" s="57">
        <f t="shared" si="59"/>
        <v>1162.4881611526532</v>
      </c>
      <c r="AN72" s="57">
        <f ca="1">AVERAGE(OFFSET($AM$3,0,0,'Données projet'!$E$10+1,1))-AVERAGE(OFFSET($H$3,0,0,'Données projet'!$E$10+1,1))</f>
        <v>524.3999528951972</v>
      </c>
      <c r="AO72" s="57">
        <f t="shared" si="90"/>
        <v>459.3547783500515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122.45369392183287</v>
      </c>
      <c r="AV72" s="21">
        <f>EXP(-LN(2)/25)*AV71+(1-EXP(-LN(2)/25))/(LN(2)/25)*Calculateur!AQ72*Calculateur!AS72*VLOOKUP('Données projet'!$B$10,Paramètres!$A$1:$I$89,3,0)*0.475*44/12</f>
        <v>18.124477103421825</v>
      </c>
      <c r="AW72" s="21">
        <f>EXP(-LN(2)/2)*AW71+(1-EXP(-LN(2)/2))/(LN(2)/2)*AQ72*AT72*VLOOKUP('Données projet'!$B$10,Paramètres!$A$1:$I$89,3,0)*0.475*44/12</f>
        <v>1.6079738991522525E-6</v>
      </c>
      <c r="AX72" s="21">
        <f t="shared" si="60"/>
        <v>140.57817263322858</v>
      </c>
      <c r="AY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21.6</v>
      </c>
      <c r="BD72" s="12">
        <f>IF('Données projet'!$A$88&gt;35,BD71+BC72-BL71,IF(A72&lt;'Données projet'!$A$88,$BA$205^A72,IF(A72='Données projet'!$A$88,'Données projet'!$B$88,BD71+BC72-BL71)))</f>
        <v>810.40000000000009</v>
      </c>
      <c r="BE72" s="13">
        <f>BD72*VLOOKUP('Données projet'!$B$11,Paramètres!$A$1:$I$89,3,0)*VLOOKUP('Données projet'!$B$11,Paramètres!$A$1:$I$89,5,0)</f>
        <v>389.80240000000003</v>
      </c>
      <c r="BF72" s="13">
        <f t="shared" si="91"/>
        <v>89.70616130139075</v>
      </c>
      <c r="BG72" s="20">
        <f t="shared" si="61"/>
        <v>835.1440775999223</v>
      </c>
      <c r="BH72" s="57">
        <f t="shared" si="62"/>
        <v>1128.4774109332557</v>
      </c>
      <c r="BI72" s="57">
        <f ca="1">AVERAGE(OFFSET($BH$3,0,0,'Données projet'!$E$11+1,1))-AVERAGE(OFFSET($H$3,0,0,'Données projet'!$E$11+1,1))</f>
        <v>495.6473104257044</v>
      </c>
      <c r="BJ72" s="57">
        <f t="shared" si="92"/>
        <v>430.92527296485201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123.24361898663497</v>
      </c>
      <c r="BQ72" s="21">
        <f>EXP(-LN(2)/25)*BQ71+(1-EXP(-LN(2)/25))/(LN(2)/25)*Calculateur!BL72*Calculateur!BN72*VLOOKUP('Données projet'!$B$11,Paramètres!$A$1:$I$89,3,0)*0.475*44/12</f>
        <v>17.075606900677506</v>
      </c>
      <c r="BR72" s="21">
        <f>EXP(-LN(2)/2)*BR71+(1-EXP(-LN(2)/2))/(LN(2)/2)*BL72*BO72*VLOOKUP('Données projet'!$B$11,Paramètres!$A$1:$I$89,3,0)*0.475*44/12</f>
        <v>9.8699323825279091E-7</v>
      </c>
      <c r="BS72" s="22">
        <f t="shared" si="63"/>
        <v>140.31922687430571</v>
      </c>
      <c r="BT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7" t="e">
        <f t="shared" si="65"/>
        <v>#NUM!</v>
      </c>
      <c r="CD72" s="57">
        <f ca="1">AVERAGE(OFFSET($CC$3,0,0,'Données projet'!$E$12+1,1))-AVERAGE(OFFSET($H$3,0,0,'Données projet'!$E$12+1,1))</f>
        <v>187.80389738728508</v>
      </c>
      <c r="CE72" s="57">
        <f t="shared" si="94"/>
        <v>439.28159165815265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57.051650796061814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1.6644555053104718E-6</v>
      </c>
      <c r="CN72" s="22">
        <f t="shared" si="66"/>
        <v>57.051652460517317</v>
      </c>
      <c r="CO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6.8</v>
      </c>
      <c r="CT72" s="12">
        <f>IF('Données projet'!$A$140&gt;35,CT71+CS72-DB71,IF(A72&lt;'Données projet'!$A$140,$CQ$205^A72,IF(A72='Données projet'!$A$140,'Données projet'!$B$140,CT71+CS72-DB71)))</f>
        <v>235.19999999999996</v>
      </c>
      <c r="CU72" s="17">
        <f>CT72*VLOOKUP('Données projet'!$B$13,Paramètres!$A$1:$I$89,3,0)*VLOOKUP('Données projet'!$B$13,Paramètres!$A$1:$I$89,5,0)</f>
        <v>212.80895999999996</v>
      </c>
      <c r="CV72" s="13">
        <f t="shared" si="95"/>
        <v>52.548938637485847</v>
      </c>
      <c r="CW72" s="20">
        <f t="shared" si="67"/>
        <v>462.16500679362099</v>
      </c>
      <c r="CX72" s="57">
        <f t="shared" si="68"/>
        <v>755.4983401269543</v>
      </c>
      <c r="CY72" s="57">
        <f ca="1">AVERAGE(OFFSET($CX$3,0,0,'Données projet'!$E$13+1,1))-AVERAGE(OFFSET($H$3,0,0,'Données projet'!$E$13+1,1))</f>
        <v>364.3481978218424</v>
      </c>
      <c r="CZ72" s="57">
        <f t="shared" si="96"/>
        <v>231.36959598460686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44.253878030053045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44.253878030053045</v>
      </c>
      <c r="DJ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255.00000000000006</v>
      </c>
      <c r="DP72" s="17">
        <f>DO72*VLOOKUP('Données projet'!$B$14,Paramètres!$A$1:$I$89,3,0)*VLOOKUP('Données projet'!$B$14,Paramètres!$A$1:$I$89,5,0)</f>
        <v>186.96600000000004</v>
      </c>
      <c r="DQ72" s="13">
        <f t="shared" si="97"/>
        <v>46.868551400324648</v>
      </c>
      <c r="DR72" s="20">
        <f t="shared" si="70"/>
        <v>407.26184368889881</v>
      </c>
      <c r="DS72" s="57">
        <f t="shared" si="71"/>
        <v>700.59517702223206</v>
      </c>
      <c r="DT72" s="57">
        <f ca="1">AVERAGE(OFFSET($DS$3,0,0,'Données projet'!$E$14+1,1))-AVERAGE(OFFSET($H$3,0,0,'Données projet'!$E$14+1,1))</f>
        <v>239.25212250019609</v>
      </c>
      <c r="DU72" s="57">
        <f t="shared" si="98"/>
        <v>213.58492101729695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10</v>
      </c>
      <c r="EJ72" s="12">
        <f>IF('Données projet'!$A$192&gt;35,EJ71+EI72-ER71,IF(A72&lt;'Données projet'!$A$192,$EG$205^A72,IF(A72='Données projet'!$A$192,'Données projet'!$B$192,EJ71+EI72-ER71)))</f>
        <v>305.99999999999994</v>
      </c>
      <c r="EK72" s="17">
        <f>EJ72*VLOOKUP('Données projet'!$B$15,Paramètres!$A$1:$I$89,3,0)*VLOOKUP('Données projet'!$B$15,Paramètres!$A$1:$I$89,5,0)</f>
        <v>262.548</v>
      </c>
      <c r="EL72" s="13">
        <f t="shared" si="99"/>
        <v>63.265199933079444</v>
      </c>
      <c r="EM72" s="20">
        <f t="shared" si="73"/>
        <v>567.45798988344666</v>
      </c>
      <c r="EN72" s="57">
        <f t="shared" si="74"/>
        <v>860.79132321678003</v>
      </c>
      <c r="EO72" s="57">
        <f ca="1">AVERAGE(OFFSET($EN$3,0,0,'Données projet'!$E$15+1,1))-AVERAGE(OFFSET($H$3,0,0,'Données projet'!$E$15+1,1))</f>
        <v>447.10969593632467</v>
      </c>
      <c r="EP72" s="57">
        <f t="shared" si="100"/>
        <v>256.77417912163997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68.965546355308604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68.965546355308604</v>
      </c>
      <c r="EZ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7" t="e">
        <f t="shared" si="77"/>
        <v>#N/A</v>
      </c>
      <c r="FJ72" s="57" t="e">
        <f ca="1">AVERAGE(OFFSET($FI$3,0,0,'Données projet'!$E$16+1,1))-AVERAGE(OFFSET($H$3,0,0,'Données projet'!$E$16+1,1))</f>
        <v>#N/A</v>
      </c>
      <c r="FK72" s="57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7" t="e">
        <f t="shared" si="80"/>
        <v>#N/A</v>
      </c>
      <c r="GE72" s="57" t="e">
        <f ca="1">AVERAGE(OFFSET($GD$3,0,0,'Données projet'!$E$17+1,1))-AVERAGE(OFFSET($H$3,0,0,'Données projet'!$E$17+1,1))</f>
        <v>#N/A</v>
      </c>
      <c r="GF72" s="57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7" t="e">
        <f t="shared" si="83"/>
        <v>#N/A</v>
      </c>
      <c r="GZ72" s="57" t="e">
        <f ca="1">AVERAGE(OFFSET($GY$3,0,0,'Données projet'!$E$18+1,1))-AVERAGE(OFFSET($H$3,0,0,'Données projet'!$E$18+1,1))</f>
        <v>#N/A</v>
      </c>
      <c r="HA72" s="57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0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4">
        <f t="shared" si="56"/>
        <v>256.66666666666669</v>
      </c>
      <c r="I73" s="6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636.99999999999977</v>
      </c>
      <c r="O73" s="13">
        <f>N73*VLOOKUP('Données projet'!$B$9,Paramètres!$A$1:$I$89,3,0)*VLOOKUP('Données projet'!$B$9,Paramètres!$A$1:$I$89,5,0)</f>
        <v>356.08299999999991</v>
      </c>
      <c r="P73" s="13">
        <f t="shared" si="87"/>
        <v>82.813805255716545</v>
      </c>
      <c r="Q73" s="20">
        <f t="shared" si="54"/>
        <v>764.41193582037283</v>
      </c>
      <c r="R73" s="57">
        <f t="shared" si="55"/>
        <v>1057.7452691537062</v>
      </c>
      <c r="S73" s="57">
        <f ca="1">AVERAGE(OFFSET($R$3,0,0,'Données projet'!$E$9+1,1))-AVERAGE(OFFSET($H$3,0,0,'Données projet'!$E$9+1,1))</f>
        <v>443.34220761968419</v>
      </c>
      <c r="T73" s="57">
        <f t="shared" si="88"/>
        <v>546.58234447298014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80.17188350210543</v>
      </c>
      <c r="AA73" s="21">
        <f>EXP(-LN(2)/25)*AA72+(1-EXP(-LN(2)/25))/(LN(2)/25)*Calculateur!V73*Calculateur!X73*VLOOKUP('Données projet'!$B$9,Paramètres!$A$1:$I$89,3,0)*0.475*44/12</f>
        <v>7.2366115738684131</v>
      </c>
      <c r="AB73" s="21">
        <f>EXP(-LN(2)/2)*AB72+(1-EXP(-LN(2)/2))/(LN(2)/2)*V73*Y73*VLOOKUP('Données projet'!$B$9,Paramètres!$A$1:$I$89,3,0)*0.475*44/12</f>
        <v>5.7619064719622414E-6</v>
      </c>
      <c r="AC73" s="22">
        <f t="shared" si="57"/>
        <v>87.408500837880325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888</v>
      </c>
      <c r="AG73" s="12">
        <f>VLOOKUP(A73,'Données projet'!$A$61:$I$81,9,0)</f>
        <v>20.399999999999999</v>
      </c>
      <c r="AH73" s="12">
        <f t="array" ref="AH73">INDEX(AG:AG,MIN(IF(ISNUMBER(AG73:AG269),ROW(AG73:AG269),"")))</f>
        <v>20.399999999999999</v>
      </c>
      <c r="AI73" s="13">
        <f>IF('Données projet'!$A$62&gt;35,AI72+AH73-AQ72,IF(A73&lt;'Données projet'!$A$62,$AF$205^A73,IF(A73='Données projet'!$A$62,'Données projet'!$B$62,AI72+AH73-AQ72)))</f>
        <v>887.99999999999932</v>
      </c>
      <c r="AJ73" s="13">
        <f>AI73*VLOOKUP('Données projet'!$B$10,Paramètres!$A$1:$I$89,3,0)*VLOOKUP('Données projet'!$B$10,Paramètres!$A$1:$I$89,5,0)</f>
        <v>415.58399999999966</v>
      </c>
      <c r="AK73" s="13">
        <f t="shared" si="89"/>
        <v>94.929019945687571</v>
      </c>
      <c r="AL73" s="20">
        <f t="shared" si="58"/>
        <v>889.14350973873854</v>
      </c>
      <c r="AM73" s="57">
        <f t="shared" si="59"/>
        <v>1182.4768430720719</v>
      </c>
      <c r="AN73" s="57">
        <f ca="1">AVERAGE(OFFSET($AM$3,0,0,'Données projet'!$E$10+1,1))-AVERAGE(OFFSET($H$3,0,0,'Données projet'!$E$10+1,1))</f>
        <v>524.3999528951972</v>
      </c>
      <c r="AO73" s="57">
        <f t="shared" si="90"/>
        <v>459.3547783500515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0.55000000000000004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139.17408235989177</v>
      </c>
      <c r="AV73" s="21">
        <f>EXP(-LN(2)/25)*AV72+(1-EXP(-LN(2)/25))/(LN(2)/25)*Calculateur!AQ73*Calculateur!AS73*VLOOKUP('Données projet'!$B$10,Paramètres!$A$1:$I$89,3,0)*0.475*44/12</f>
        <v>17.628862323903927</v>
      </c>
      <c r="AW73" s="21">
        <f>EXP(-LN(2)/2)*AW72+(1-EXP(-LN(2)/2))/(LN(2)/2)*AQ73*AT73*VLOOKUP('Données projet'!$B$10,Paramètres!$A$1:$I$89,3,0)*0.475*44/12</f>
        <v>1.1370092480615314E-6</v>
      </c>
      <c r="AX73" s="21">
        <f t="shared" si="60"/>
        <v>156.80294582080492</v>
      </c>
      <c r="AY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832</v>
      </c>
      <c r="BB73" s="12">
        <f>VLOOKUP(A73,'Données projet'!$A$87:$I$107,9,0)</f>
        <v>21.6</v>
      </c>
      <c r="BC73" s="12">
        <f t="array" ref="BC73">INDEX(BB:BB,MIN(IF(ISNUMBER(BB73:BB269),ROW(BB73:BB269),"")))</f>
        <v>21.6</v>
      </c>
      <c r="BD73" s="12">
        <f>IF('Données projet'!$A$88&gt;35,BD72+BC73-BL72,IF(A73&lt;'Données projet'!$A$88,$BA$205^A73,IF(A73='Données projet'!$A$88,'Données projet'!$B$88,BD72+BC73-BL72)))</f>
        <v>832.00000000000011</v>
      </c>
      <c r="BE73" s="13">
        <f>BD73*VLOOKUP('Données projet'!$B$11,Paramètres!$A$1:$I$89,3,0)*VLOOKUP('Données projet'!$B$11,Paramètres!$A$1:$I$89,5,0)</f>
        <v>400.19200000000006</v>
      </c>
      <c r="BF73" s="13">
        <f t="shared" si="91"/>
        <v>91.815589187496514</v>
      </c>
      <c r="BG73" s="20">
        <f t="shared" si="61"/>
        <v>856.91321783488991</v>
      </c>
      <c r="BH73" s="57">
        <f t="shared" si="62"/>
        <v>1150.2465511682233</v>
      </c>
      <c r="BI73" s="57">
        <f ca="1">AVERAGE(OFFSET($BH$3,0,0,'Données projet'!$E$11+1,1))-AVERAGE(OFFSET($H$3,0,0,'Données projet'!$E$11+1,1))</f>
        <v>495.6473104257044</v>
      </c>
      <c r="BJ73" s="57">
        <f t="shared" si="92"/>
        <v>430.92527296485201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60</v>
      </c>
      <c r="BM73" s="16">
        <f>IF(ISNA(VLOOKUP(A73,'Données projet'!$A$87:$I$107,5,0)),0%,VLOOKUP(A73,'Données projet'!$A$87:$I$107,5,0)*VLOOKUP('Données projet'!$B$11,Paramètres!$A$1:$I$89,7,0))</f>
        <v>0.55000000000000004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141.88344439068393</v>
      </c>
      <c r="BQ73" s="21">
        <f>EXP(-LN(2)/25)*BQ72+(1-EXP(-LN(2)/25))/(LN(2)/25)*Calculateur!BL73*Calculateur!BN73*VLOOKUP('Données projet'!$B$11,Paramètres!$A$1:$I$89,3,0)*0.475*44/12</f>
        <v>16.608673532011341</v>
      </c>
      <c r="BR73" s="21">
        <f>EXP(-LN(2)/2)*BR72+(1-EXP(-LN(2)/2))/(LN(2)/2)*BL73*BO73*VLOOKUP('Données projet'!$B$11,Paramètres!$A$1:$I$89,3,0)*0.475*44/12</f>
        <v>6.9790961175381819E-7</v>
      </c>
      <c r="BS73" s="22">
        <f t="shared" si="63"/>
        <v>158.49211862060488</v>
      </c>
      <c r="BT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7" t="e">
        <f t="shared" si="65"/>
        <v>#NUM!</v>
      </c>
      <c r="CD73" s="57">
        <f ca="1">AVERAGE(OFFSET($CC$3,0,0,'Données projet'!$E$12+1,1))-AVERAGE(OFFSET($H$3,0,0,'Données projet'!$E$12+1,1))</f>
        <v>187.80389738728508</v>
      </c>
      <c r="CE73" s="57">
        <f t="shared" si="94"/>
        <v>439.28159165815265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55.932902722022007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1.1769477747883162E-6</v>
      </c>
      <c r="CN73" s="22">
        <f t="shared" si="66"/>
        <v>55.932903898969784</v>
      </c>
      <c r="CO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242</v>
      </c>
      <c r="CR73" s="12">
        <f>VLOOKUP(A73,'Données projet'!$A$139:$I$159,9,0)</f>
        <v>6.8</v>
      </c>
      <c r="CS73" s="12">
        <f t="array" ref="CS73">INDEX(CR:CR,MIN(IF(ISNUMBER(CR73:CR269),ROW(CR73:CR269),"")))</f>
        <v>6.8</v>
      </c>
      <c r="CT73" s="12">
        <f>IF('Données projet'!$A$140&gt;35,CT72+CS73-DB72,IF(A73&lt;'Données projet'!$A$140,$CQ$205^A73,IF(A73='Données projet'!$A$140,'Données projet'!$B$140,CT72+CS73-DB72)))</f>
        <v>241.99999999999997</v>
      </c>
      <c r="CU73" s="17">
        <f>CT73*VLOOKUP('Données projet'!$B$13,Paramètres!$A$1:$I$89,3,0)*VLOOKUP('Données projet'!$B$13,Paramètres!$A$1:$I$89,5,0)</f>
        <v>218.96159999999998</v>
      </c>
      <c r="CV73" s="13">
        <f t="shared" si="95"/>
        <v>53.88913250370743</v>
      </c>
      <c r="CW73" s="20">
        <f t="shared" si="67"/>
        <v>475.21502577729035</v>
      </c>
      <c r="CX73" s="57">
        <f t="shared" si="68"/>
        <v>768.54835911062366</v>
      </c>
      <c r="CY73" s="57">
        <f ca="1">AVERAGE(OFFSET($CX$3,0,0,'Données projet'!$E$13+1,1))-AVERAGE(OFFSET($H$3,0,0,'Données projet'!$E$13+1,1))</f>
        <v>364.3481978218424</v>
      </c>
      <c r="CZ73" s="57">
        <f t="shared" si="96"/>
        <v>231.36959598460686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21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52.418159756678804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52.418159756678804</v>
      </c>
      <c r="DJ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255.00000000000006</v>
      </c>
      <c r="DP73" s="17">
        <f>DO73*VLOOKUP('Données projet'!$B$14,Paramètres!$A$1:$I$89,3,0)*VLOOKUP('Données projet'!$B$14,Paramètres!$A$1:$I$89,5,0)</f>
        <v>186.96600000000004</v>
      </c>
      <c r="DQ73" s="13">
        <f t="shared" si="97"/>
        <v>46.868551400324648</v>
      </c>
      <c r="DR73" s="20">
        <f t="shared" si="70"/>
        <v>407.26184368889881</v>
      </c>
      <c r="DS73" s="57">
        <f t="shared" si="71"/>
        <v>700.59517702223206</v>
      </c>
      <c r="DT73" s="57">
        <f ca="1">AVERAGE(OFFSET($DS$3,0,0,'Données projet'!$E$14+1,1))-AVERAGE(OFFSET($H$3,0,0,'Données projet'!$E$14+1,1))</f>
        <v>239.25212250019609</v>
      </c>
      <c r="DU73" s="57">
        <f t="shared" si="98"/>
        <v>213.58492101729695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10</v>
      </c>
      <c r="EI73" s="12">
        <f t="array" ref="EI73">INDEX(EH:EH,MIN(IF(ISNUMBER(EH73:EH269),ROW(EH73:EH269),"")))</f>
        <v>10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271.12799999999999</v>
      </c>
      <c r="EL73" s="13">
        <f t="shared" si="99"/>
        <v>65.088601240045278</v>
      </c>
      <c r="EM73" s="20">
        <f t="shared" si="73"/>
        <v>585.57724715974553</v>
      </c>
      <c r="EN73" s="57">
        <f t="shared" si="74"/>
        <v>878.9105804930789</v>
      </c>
      <c r="EO73" s="57">
        <f ca="1">AVERAGE(OFFSET($EN$3,0,0,'Données projet'!$E$15+1,1))-AVERAGE(OFFSET($H$3,0,0,'Données projet'!$E$15+1,1))</f>
        <v>447.10969593632467</v>
      </c>
      <c r="EP73" s="57">
        <f t="shared" si="100"/>
        <v>256.77417912163997</v>
      </c>
      <c r="EQ73" s="15">
        <f>IF(ISNA(VLOOKUP(A73,'Données projet'!$A$191:$I$211,3,0)),0,VLOOKUP(A73,'Données projet'!$A$191:$I$211,3,0))</f>
        <v>10</v>
      </c>
      <c r="ER73" s="15">
        <f>IF(ISNA(VLOOKUP(A73,'Données projet'!$A$191:$I$211,4,0)),0,VLOOKUP(A73,'Données projet'!$A$191:$I$211,4,0))</f>
        <v>28</v>
      </c>
      <c r="ES73" s="16">
        <f>IF(ISNA(VLOOKUP(A73,'Données projet'!$A$191:$I$211,5,0)),0%,VLOOKUP(A73,'Données projet'!$A$191:$I$211,5,0)*VLOOKUP('Données projet'!$B$15,Paramètres!$A$1:$I$89,7,0))</f>
        <v>0.53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81.688818866997508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81.688818866997508</v>
      </c>
      <c r="EZ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7" t="e">
        <f t="shared" si="77"/>
        <v>#N/A</v>
      </c>
      <c r="FJ73" s="57" t="e">
        <f ca="1">AVERAGE(OFFSET($FI$3,0,0,'Données projet'!$E$16+1,1))-AVERAGE(OFFSET($H$3,0,0,'Données projet'!$E$16+1,1))</f>
        <v>#N/A</v>
      </c>
      <c r="FK73" s="57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7" t="e">
        <f t="shared" si="80"/>
        <v>#N/A</v>
      </c>
      <c r="GE73" s="57" t="e">
        <f ca="1">AVERAGE(OFFSET($GD$3,0,0,'Données projet'!$E$17+1,1))-AVERAGE(OFFSET($H$3,0,0,'Données projet'!$E$17+1,1))</f>
        <v>#N/A</v>
      </c>
      <c r="GF73" s="57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7" t="e">
        <f t="shared" si="83"/>
        <v>#N/A</v>
      </c>
      <c r="GZ73" s="57" t="e">
        <f ca="1">AVERAGE(OFFSET($GY$3,0,0,'Données projet'!$E$18+1,1))-AVERAGE(OFFSET($H$3,0,0,'Données projet'!$E$18+1,1))</f>
        <v>#N/A</v>
      </c>
      <c r="HA73" s="57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0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4">
        <f t="shared" si="56"/>
        <v>256.66666666666669</v>
      </c>
      <c r="I74" s="6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636.99999999999977</v>
      </c>
      <c r="O74" s="13">
        <f>N74*VLOOKUP('Données projet'!$B$9,Paramètres!$A$1:$I$89,3,0)*VLOOKUP('Données projet'!$B$9,Paramètres!$A$1:$I$89,5,0)</f>
        <v>356.08299999999991</v>
      </c>
      <c r="P74" s="13">
        <f t="shared" si="87"/>
        <v>82.813805255716545</v>
      </c>
      <c r="Q74" s="20">
        <f t="shared" si="54"/>
        <v>764.41193582037283</v>
      </c>
      <c r="R74" s="57">
        <f t="shared" si="55"/>
        <v>1057.7452691537062</v>
      </c>
      <c r="S74" s="57">
        <f ca="1">AVERAGE(OFFSET($R$3,0,0,'Données projet'!$E$9+1,1))-AVERAGE(OFFSET($H$3,0,0,'Données projet'!$E$9+1,1))</f>
        <v>443.34220761968419</v>
      </c>
      <c r="T74" s="57">
        <f t="shared" si="88"/>
        <v>546.58234447298014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78.599761766649607</v>
      </c>
      <c r="AA74" s="21">
        <f>EXP(-LN(2)/25)*AA73+(1-EXP(-LN(2)/25))/(LN(2)/25)*Calculateur!V74*Calculateur!X74*VLOOKUP('Données projet'!$B$9,Paramètres!$A$1:$I$89,3,0)*0.475*44/12</f>
        <v>7.0387260498241186</v>
      </c>
      <c r="AB74" s="21">
        <f>EXP(-LN(2)/2)*AB73+(1-EXP(-LN(2)/2))/(LN(2)/2)*V74*Y74*VLOOKUP('Données projet'!$B$9,Paramètres!$A$1:$I$89,3,0)*0.475*44/12</f>
        <v>4.0742831388871566E-6</v>
      </c>
      <c r="AC74" s="22">
        <f t="shared" si="57"/>
        <v>85.638491890756868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19.399999999999999</v>
      </c>
      <c r="AI74" s="13">
        <f>IF('Données projet'!$A$62&gt;35,AI73+AH74-AQ73,IF(A74&lt;'Données projet'!$A$62,$AF$205^A74,IF(A74='Données projet'!$A$62,'Données projet'!$B$62,AI73+AH74-AQ73)))</f>
        <v>851.3999999999993</v>
      </c>
      <c r="AJ74" s="13">
        <f>AI74*VLOOKUP('Données projet'!$B$10,Paramètres!$A$1:$I$89,3,0)*VLOOKUP('Données projet'!$B$10,Paramètres!$A$1:$I$89,5,0)</f>
        <v>398.45519999999965</v>
      </c>
      <c r="AK74" s="13">
        <f t="shared" si="89"/>
        <v>91.463410233206005</v>
      </c>
      <c r="AL74" s="20">
        <f t="shared" si="58"/>
        <v>853.27491282283324</v>
      </c>
      <c r="AM74" s="57">
        <f t="shared" si="59"/>
        <v>1146.6082461561666</v>
      </c>
      <c r="AN74" s="57">
        <f ca="1">AVERAGE(OFFSET($AM$3,0,0,'Données projet'!$E$10+1,1))-AVERAGE(OFFSET($H$3,0,0,'Données projet'!$E$10+1,1))</f>
        <v>524.3999528951972</v>
      </c>
      <c r="AO74" s="57">
        <f t="shared" si="90"/>
        <v>459.3547783500515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136.44496349262255</v>
      </c>
      <c r="AV74" s="21">
        <f>EXP(-LN(2)/25)*AV73+(1-EXP(-LN(2)/25))/(LN(2)/25)*Calculateur!AQ74*Calculateur!AS74*VLOOKUP('Données projet'!$B$10,Paramètres!$A$1:$I$89,3,0)*0.475*44/12</f>
        <v>17.146800156595198</v>
      </c>
      <c r="AW74" s="21">
        <f>EXP(-LN(2)/2)*AW73+(1-EXP(-LN(2)/2))/(LN(2)/2)*AQ74*AT74*VLOOKUP('Données projet'!$B$10,Paramètres!$A$1:$I$89,3,0)*0.475*44/12</f>
        <v>8.0398694957612623E-7</v>
      </c>
      <c r="AX74" s="21">
        <f t="shared" si="60"/>
        <v>153.59176445320469</v>
      </c>
      <c r="AY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20.399999999999999</v>
      </c>
      <c r="BD74" s="12">
        <f>IF('Données projet'!$A$88&gt;35,BD73+BC74-BL73,IF(A74&lt;'Données projet'!$A$88,$BA$205^A74,IF(A74='Données projet'!$A$88,'Données projet'!$B$88,BD73+BC74-BL73)))</f>
        <v>792.40000000000009</v>
      </c>
      <c r="BE74" s="13">
        <f>BD74*VLOOKUP('Données projet'!$B$11,Paramètres!$A$1:$I$89,3,0)*VLOOKUP('Données projet'!$B$11,Paramètres!$A$1:$I$89,5,0)</f>
        <v>381.14440000000008</v>
      </c>
      <c r="BF74" s="13">
        <f t="shared" si="91"/>
        <v>87.94330549658369</v>
      </c>
      <c r="BG74" s="20">
        <f t="shared" si="61"/>
        <v>816.99442040655003</v>
      </c>
      <c r="BH74" s="57">
        <f t="shared" si="62"/>
        <v>1110.3277537398833</v>
      </c>
      <c r="BI74" s="57">
        <f ca="1">AVERAGE(OFFSET($BH$3,0,0,'Données projet'!$E$11+1,1))-AVERAGE(OFFSET($H$3,0,0,'Données projet'!$E$11+1,1))</f>
        <v>495.6473104257044</v>
      </c>
      <c r="BJ74" s="57">
        <f t="shared" si="92"/>
        <v>430.92527296485201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139.10119658653855</v>
      </c>
      <c r="BQ74" s="21">
        <f>EXP(-LN(2)/25)*BQ73+(1-EXP(-LN(2)/25))/(LN(2)/25)*Calculateur!BL74*Calculateur!BN74*VLOOKUP('Données projet'!$B$11,Paramètres!$A$1:$I$89,3,0)*0.475*44/12</f>
        <v>16.154508480866308</v>
      </c>
      <c r="BR74" s="21">
        <f>EXP(-LN(2)/2)*BR73+(1-EXP(-LN(2)/2))/(LN(2)/2)*BL74*BO74*VLOOKUP('Données projet'!$B$11,Paramètres!$A$1:$I$89,3,0)*0.475*44/12</f>
        <v>4.9349661912639546E-7</v>
      </c>
      <c r="BS74" s="22">
        <f t="shared" si="63"/>
        <v>155.25570556090148</v>
      </c>
      <c r="BT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7" t="e">
        <f t="shared" si="65"/>
        <v>#NUM!</v>
      </c>
      <c r="CD74" s="57">
        <f ca="1">AVERAGE(OFFSET($CC$3,0,0,'Données projet'!$E$12+1,1))-AVERAGE(OFFSET($H$3,0,0,'Données projet'!$E$12+1,1))</f>
        <v>187.80389738728508</v>
      </c>
      <c r="CE74" s="57">
        <f t="shared" si="94"/>
        <v>439.28159165815265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54.836092615345173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8.3222775265523592E-7</v>
      </c>
      <c r="CN74" s="22">
        <f t="shared" si="66"/>
        <v>54.836093447572928</v>
      </c>
      <c r="CO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6.2</v>
      </c>
      <c r="CT74" s="12">
        <f>IF('Données projet'!$A$140&gt;35,CT73+CS74-DB73,IF(A74&lt;'Données projet'!$A$140,$CQ$205^A74,IF(A74='Données projet'!$A$140,'Données projet'!$B$140,CT73+CS74-DB73)))</f>
        <v>227.19999999999996</v>
      </c>
      <c r="CU74" s="17">
        <f>CT74*VLOOKUP('Données projet'!$B$13,Paramètres!$A$1:$I$89,3,0)*VLOOKUP('Données projet'!$B$13,Paramètres!$A$1:$I$89,5,0)</f>
        <v>205.57055999999997</v>
      </c>
      <c r="CV74" s="13">
        <f t="shared" si="95"/>
        <v>50.966443946767392</v>
      </c>
      <c r="CW74" s="20">
        <f t="shared" si="67"/>
        <v>446.80194854061978</v>
      </c>
      <c r="CX74" s="57">
        <f t="shared" si="68"/>
        <v>740.13528187395309</v>
      </c>
      <c r="CY74" s="57">
        <f ca="1">AVERAGE(OFFSET($CX$3,0,0,'Données projet'!$E$13+1,1))-AVERAGE(OFFSET($H$3,0,0,'Données projet'!$E$13+1,1))</f>
        <v>364.3481978218424</v>
      </c>
      <c r="CZ74" s="57">
        <f t="shared" si="96"/>
        <v>231.36959598460686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51.390271615770821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51.390271615770821</v>
      </c>
      <c r="DJ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255.00000000000006</v>
      </c>
      <c r="DP74" s="17">
        <f>DO74*VLOOKUP('Données projet'!$B$14,Paramètres!$A$1:$I$89,3,0)*VLOOKUP('Données projet'!$B$14,Paramètres!$A$1:$I$89,5,0)</f>
        <v>186.96600000000004</v>
      </c>
      <c r="DQ74" s="13">
        <f t="shared" si="97"/>
        <v>46.868551400324648</v>
      </c>
      <c r="DR74" s="20">
        <f t="shared" si="70"/>
        <v>407.26184368889881</v>
      </c>
      <c r="DS74" s="57">
        <f t="shared" si="71"/>
        <v>700.59517702223206</v>
      </c>
      <c r="DT74" s="57">
        <f ca="1">AVERAGE(OFFSET($DS$3,0,0,'Données projet'!$E$14+1,1))-AVERAGE(OFFSET($H$3,0,0,'Données projet'!$E$14+1,1))</f>
        <v>239.25212250019609</v>
      </c>
      <c r="DU74" s="57">
        <f t="shared" si="98"/>
        <v>213.58492101729695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9.4</v>
      </c>
      <c r="EJ74" s="12">
        <f>IF('Données projet'!$A$192&gt;35,EJ73+EI74-ER73,IF(A74&lt;'Données projet'!$A$192,$EG$205^A74,IF(A74='Données projet'!$A$192,'Données projet'!$B$192,EJ73+EI74-ER73)))</f>
        <v>297.39999999999992</v>
      </c>
      <c r="EK74" s="17">
        <f>EJ74*VLOOKUP('Données projet'!$B$15,Paramètres!$A$1:$I$89,3,0)*VLOOKUP('Données projet'!$B$15,Paramètres!$A$1:$I$89,5,0)</f>
        <v>255.16919999999996</v>
      </c>
      <c r="EL74" s="13">
        <f t="shared" si="99"/>
        <v>61.691525331424884</v>
      </c>
      <c r="EM74" s="20">
        <f t="shared" si="73"/>
        <v>551.86576328556498</v>
      </c>
      <c r="EN74" s="57">
        <f t="shared" si="74"/>
        <v>845.19909661889824</v>
      </c>
      <c r="EO74" s="57">
        <f ca="1">AVERAGE(OFFSET($EN$3,0,0,'Données projet'!$E$15+1,1))-AVERAGE(OFFSET($H$3,0,0,'Données projet'!$E$15+1,1))</f>
        <v>447.10969593632467</v>
      </c>
      <c r="EP74" s="57">
        <f t="shared" si="100"/>
        <v>256.77417912163997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80.086950954275366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80.086950954275366</v>
      </c>
      <c r="EZ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7" t="e">
        <f t="shared" si="77"/>
        <v>#N/A</v>
      </c>
      <c r="FJ74" s="57" t="e">
        <f ca="1">AVERAGE(OFFSET($FI$3,0,0,'Données projet'!$E$16+1,1))-AVERAGE(OFFSET($H$3,0,0,'Données projet'!$E$16+1,1))</f>
        <v>#N/A</v>
      </c>
      <c r="FK74" s="57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7" t="e">
        <f t="shared" si="80"/>
        <v>#N/A</v>
      </c>
      <c r="GE74" s="57" t="e">
        <f ca="1">AVERAGE(OFFSET($GD$3,0,0,'Données projet'!$E$17+1,1))-AVERAGE(OFFSET($H$3,0,0,'Données projet'!$E$17+1,1))</f>
        <v>#N/A</v>
      </c>
      <c r="GF74" s="57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7" t="e">
        <f t="shared" si="83"/>
        <v>#N/A</v>
      </c>
      <c r="GZ74" s="57" t="e">
        <f ca="1">AVERAGE(OFFSET($GY$3,0,0,'Données projet'!$E$18+1,1))-AVERAGE(OFFSET($H$3,0,0,'Données projet'!$E$18+1,1))</f>
        <v>#N/A</v>
      </c>
      <c r="HA74" s="57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0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4">
        <f t="shared" si="56"/>
        <v>256.66666666666669</v>
      </c>
      <c r="I75" s="6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636.99999999999977</v>
      </c>
      <c r="O75" s="13">
        <f>N75*VLOOKUP('Données projet'!$B$9,Paramètres!$A$1:$I$89,3,0)*VLOOKUP('Données projet'!$B$9,Paramètres!$A$1:$I$89,5,0)</f>
        <v>356.08299999999991</v>
      </c>
      <c r="P75" s="13">
        <f t="shared" si="87"/>
        <v>82.813805255716545</v>
      </c>
      <c r="Q75" s="20">
        <f t="shared" si="54"/>
        <v>764.41193582037283</v>
      </c>
      <c r="R75" s="57">
        <f t="shared" si="55"/>
        <v>1057.7452691537062</v>
      </c>
      <c r="S75" s="57">
        <f ca="1">AVERAGE(OFFSET($R$3,0,0,'Données projet'!$E$9+1,1))-AVERAGE(OFFSET($H$3,0,0,'Données projet'!$E$9+1,1))</f>
        <v>443.34220761968419</v>
      </c>
      <c r="T75" s="57">
        <f t="shared" si="88"/>
        <v>546.58234447298014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77.058468379526488</v>
      </c>
      <c r="AA75" s="21">
        <f>EXP(-LN(2)/25)*AA74+(1-EXP(-LN(2)/25))/(LN(2)/25)*Calculateur!V75*Calculateur!X75*VLOOKUP('Données projet'!$B$9,Paramètres!$A$1:$I$89,3,0)*0.475*44/12</f>
        <v>6.846251715841162</v>
      </c>
      <c r="AB75" s="21">
        <f>EXP(-LN(2)/2)*AB74+(1-EXP(-LN(2)/2))/(LN(2)/2)*V75*Y75*VLOOKUP('Données projet'!$B$9,Paramètres!$A$1:$I$89,3,0)*0.475*44/12</f>
        <v>2.8809532359811207E-6</v>
      </c>
      <c r="AC75" s="22">
        <f t="shared" si="57"/>
        <v>83.904722976320883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19.399999999999999</v>
      </c>
      <c r="AI75" s="13">
        <f>IF('Données projet'!$A$62&gt;35,AI74+AH75-AQ74,IF(A75&lt;'Données projet'!$A$62,$AF$205^A75,IF(A75='Données projet'!$A$62,'Données projet'!$B$62,AI74+AH75-AQ74)))</f>
        <v>870.79999999999927</v>
      </c>
      <c r="AJ75" s="13">
        <f>AI75*VLOOKUP('Données projet'!$B$10,Paramètres!$A$1:$I$89,3,0)*VLOOKUP('Données projet'!$B$10,Paramètres!$A$1:$I$89,5,0)</f>
        <v>407.53439999999966</v>
      </c>
      <c r="AK75" s="13">
        <f t="shared" si="89"/>
        <v>93.302486304007417</v>
      </c>
      <c r="AL75" s="20">
        <f t="shared" si="58"/>
        <v>872.29091031281223</v>
      </c>
      <c r="AM75" s="57">
        <f t="shared" si="59"/>
        <v>1165.6242436461455</v>
      </c>
      <c r="AN75" s="57">
        <f ca="1">AVERAGE(OFFSET($AM$3,0,0,'Données projet'!$E$10+1,1))-AVERAGE(OFFSET($H$3,0,0,'Données projet'!$E$10+1,1))</f>
        <v>524.3999528951972</v>
      </c>
      <c r="AO75" s="57">
        <f t="shared" si="90"/>
        <v>459.3547783500515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133.76936098174235</v>
      </c>
      <c r="AV75" s="21">
        <f>EXP(-LN(2)/25)*AV74+(1-EXP(-LN(2)/25))/(LN(2)/25)*Calculateur!AQ75*Calculateur!AS75*VLOOKUP('Données projet'!$B$10,Paramètres!$A$1:$I$89,3,0)*0.475*44/12</f>
        <v>16.677920004602072</v>
      </c>
      <c r="AW75" s="21">
        <f>EXP(-LN(2)/2)*AW74+(1-EXP(-LN(2)/2))/(LN(2)/2)*AQ75*AT75*VLOOKUP('Données projet'!$B$10,Paramètres!$A$1:$I$89,3,0)*0.475*44/12</f>
        <v>5.685046240307657E-7</v>
      </c>
      <c r="AX75" s="21">
        <f t="shared" si="60"/>
        <v>150.44728155484904</v>
      </c>
      <c r="AY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20.399999999999999</v>
      </c>
      <c r="BD75" s="12">
        <f>IF('Données projet'!$A$88&gt;35,BD74+BC75-BL74,IF(A75&lt;'Données projet'!$A$88,$BA$205^A75,IF(A75='Données projet'!$A$88,'Données projet'!$B$88,BD74+BC75-BL74)))</f>
        <v>812.80000000000007</v>
      </c>
      <c r="BE75" s="13">
        <f>BD75*VLOOKUP('Données projet'!$B$11,Paramètres!$A$1:$I$89,3,0)*VLOOKUP('Données projet'!$B$11,Paramètres!$A$1:$I$89,5,0)</f>
        <v>390.9568000000001</v>
      </c>
      <c r="BF75" s="13">
        <f t="shared" si="91"/>
        <v>89.940862339513885</v>
      </c>
      <c r="BG75" s="20">
        <f t="shared" si="61"/>
        <v>837.56342857465359</v>
      </c>
      <c r="BH75" s="57">
        <f t="shared" si="62"/>
        <v>1130.896761907987</v>
      </c>
      <c r="BI75" s="57">
        <f ca="1">AVERAGE(OFFSET($BH$3,0,0,'Données projet'!$E$11+1,1))-AVERAGE(OFFSET($H$3,0,0,'Données projet'!$E$11+1,1))</f>
        <v>495.6473104257044</v>
      </c>
      <c r="BJ75" s="57">
        <f t="shared" si="92"/>
        <v>430.92527296485201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136.37350696482886</v>
      </c>
      <c r="BQ75" s="21">
        <f>EXP(-LN(2)/25)*BQ74+(1-EXP(-LN(2)/25))/(LN(2)/25)*Calculateur!BL75*Calculateur!BN75*VLOOKUP('Données projet'!$B$11,Paramètres!$A$1:$I$89,3,0)*0.475*44/12</f>
        <v>15.712762596928339</v>
      </c>
      <c r="BR75" s="21">
        <f>EXP(-LN(2)/2)*BR74+(1-EXP(-LN(2)/2))/(LN(2)/2)*BL75*BO75*VLOOKUP('Données projet'!$B$11,Paramètres!$A$1:$I$89,3,0)*0.475*44/12</f>
        <v>3.4895480587690909E-7</v>
      </c>
      <c r="BS75" s="22">
        <f t="shared" si="63"/>
        <v>152.08626991071202</v>
      </c>
      <c r="BT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7" t="e">
        <f t="shared" si="65"/>
        <v>#NUM!</v>
      </c>
      <c r="CD75" s="57">
        <f ca="1">AVERAGE(OFFSET($CC$3,0,0,'Données projet'!$E$12+1,1))-AVERAGE(OFFSET($H$3,0,0,'Données projet'!$E$12+1,1))</f>
        <v>187.80389738728508</v>
      </c>
      <c r="CE75" s="57">
        <f t="shared" si="94"/>
        <v>439.28159165815265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53.760790285872162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5.8847388739415809E-7</v>
      </c>
      <c r="CN75" s="22">
        <f t="shared" si="66"/>
        <v>53.76079087434605</v>
      </c>
      <c r="CO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6.2</v>
      </c>
      <c r="CT75" s="12">
        <f>IF('Données projet'!$A$140&gt;35,CT74+CS75-DB74,IF(A75&lt;'Données projet'!$A$140,$CQ$205^A75,IF(A75='Données projet'!$A$140,'Données projet'!$B$140,CT74+CS75-DB74)))</f>
        <v>233.39999999999995</v>
      </c>
      <c r="CU75" s="17">
        <f>CT75*VLOOKUP('Données projet'!$B$13,Paramètres!$A$1:$I$89,3,0)*VLOOKUP('Données projet'!$B$13,Paramètres!$A$1:$I$89,5,0)</f>
        <v>211.18031999999994</v>
      </c>
      <c r="CV75" s="13">
        <f t="shared" si="95"/>
        <v>52.193431117443019</v>
      </c>
      <c r="CW75" s="20">
        <f t="shared" si="67"/>
        <v>458.70928319621316</v>
      </c>
      <c r="CX75" s="57">
        <f t="shared" si="68"/>
        <v>752.04261652954642</v>
      </c>
      <c r="CY75" s="57">
        <f ca="1">AVERAGE(OFFSET($CX$3,0,0,'Données projet'!$E$13+1,1))-AVERAGE(OFFSET($H$3,0,0,'Données projet'!$E$13+1,1))</f>
        <v>364.3481978218424</v>
      </c>
      <c r="CZ75" s="57">
        <f t="shared" si="96"/>
        <v>231.36959598460686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50.382539734356179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50.382539734356179</v>
      </c>
      <c r="DJ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255.00000000000006</v>
      </c>
      <c r="DP75" s="17">
        <f>DO75*VLOOKUP('Données projet'!$B$14,Paramètres!$A$1:$I$89,3,0)*VLOOKUP('Données projet'!$B$14,Paramètres!$A$1:$I$89,5,0)</f>
        <v>186.96600000000004</v>
      </c>
      <c r="DQ75" s="13">
        <f t="shared" si="97"/>
        <v>46.868551400324648</v>
      </c>
      <c r="DR75" s="20">
        <f t="shared" si="70"/>
        <v>407.26184368889881</v>
      </c>
      <c r="DS75" s="57">
        <f t="shared" si="71"/>
        <v>700.59517702223206</v>
      </c>
      <c r="DT75" s="57">
        <f ca="1">AVERAGE(OFFSET($DS$3,0,0,'Données projet'!$E$14+1,1))-AVERAGE(OFFSET($H$3,0,0,'Données projet'!$E$14+1,1))</f>
        <v>239.25212250019609</v>
      </c>
      <c r="DU75" s="57">
        <f t="shared" si="98"/>
        <v>213.58492101729695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9.4</v>
      </c>
      <c r="EJ75" s="12">
        <f>IF('Données projet'!$A$192&gt;35,EJ74+EI75-ER74,IF(A75&lt;'Données projet'!$A$192,$EG$205^A75,IF(A75='Données projet'!$A$192,'Données projet'!$B$192,EJ74+EI75-ER74)))</f>
        <v>306.7999999999999</v>
      </c>
      <c r="EK75" s="17">
        <f>EJ75*VLOOKUP('Données projet'!$B$15,Paramètres!$A$1:$I$89,3,0)*VLOOKUP('Données projet'!$B$15,Paramètres!$A$1:$I$89,5,0)</f>
        <v>263.23439999999994</v>
      </c>
      <c r="EL75" s="13">
        <f t="shared" si="99"/>
        <v>63.411324464279403</v>
      </c>
      <c r="EM75" s="20">
        <f t="shared" si="73"/>
        <v>568.90797010861979</v>
      </c>
      <c r="EN75" s="57">
        <f t="shared" si="74"/>
        <v>862.24130344195305</v>
      </c>
      <c r="EO75" s="57">
        <f ca="1">AVERAGE(OFFSET($EN$3,0,0,'Données projet'!$E$15+1,1))-AVERAGE(OFFSET($H$3,0,0,'Données projet'!$E$15+1,1))</f>
        <v>447.10969593632467</v>
      </c>
      <c r="EP75" s="57">
        <f t="shared" si="100"/>
        <v>256.77417912163997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78.516494694278748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78.516494694278748</v>
      </c>
      <c r="EZ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7" t="e">
        <f t="shared" si="77"/>
        <v>#N/A</v>
      </c>
      <c r="FJ75" s="57" t="e">
        <f ca="1">AVERAGE(OFFSET($FI$3,0,0,'Données projet'!$E$16+1,1))-AVERAGE(OFFSET($H$3,0,0,'Données projet'!$E$16+1,1))</f>
        <v>#N/A</v>
      </c>
      <c r="FK75" s="57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7" t="e">
        <f t="shared" si="80"/>
        <v>#N/A</v>
      </c>
      <c r="GE75" s="57" t="e">
        <f ca="1">AVERAGE(OFFSET($GD$3,0,0,'Données projet'!$E$17+1,1))-AVERAGE(OFFSET($H$3,0,0,'Données projet'!$E$17+1,1))</f>
        <v>#N/A</v>
      </c>
      <c r="GF75" s="57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7" t="e">
        <f t="shared" si="83"/>
        <v>#N/A</v>
      </c>
      <c r="GZ75" s="57" t="e">
        <f ca="1">AVERAGE(OFFSET($GY$3,0,0,'Données projet'!$E$18+1,1))-AVERAGE(OFFSET($H$3,0,0,'Données projet'!$E$18+1,1))</f>
        <v>#N/A</v>
      </c>
      <c r="HA75" s="57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0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4">
        <f t="shared" si="56"/>
        <v>256.66666666666669</v>
      </c>
      <c r="I76" s="6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636.99999999999977</v>
      </c>
      <c r="O76" s="13">
        <f>N76*VLOOKUP('Données projet'!$B$9,Paramètres!$A$1:$I$89,3,0)*VLOOKUP('Données projet'!$B$9,Paramètres!$A$1:$I$89,5,0)</f>
        <v>356.08299999999991</v>
      </c>
      <c r="P76" s="13">
        <f t="shared" si="87"/>
        <v>82.813805255716545</v>
      </c>
      <c r="Q76" s="20">
        <f t="shared" si="54"/>
        <v>764.41193582037283</v>
      </c>
      <c r="R76" s="57">
        <f t="shared" si="55"/>
        <v>1057.7452691537062</v>
      </c>
      <c r="S76" s="57">
        <f ca="1">AVERAGE(OFFSET($R$3,0,0,'Données projet'!$E$9+1,1))-AVERAGE(OFFSET($H$3,0,0,'Données projet'!$E$9+1,1))</f>
        <v>443.34220761968419</v>
      </c>
      <c r="T76" s="57">
        <f t="shared" si="88"/>
        <v>546.58234447298014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75.547398815628725</v>
      </c>
      <c r="AA76" s="21">
        <f>EXP(-LN(2)/25)*AA75+(1-EXP(-LN(2)/25))/(LN(2)/25)*Calculateur!V76*Calculateur!X76*VLOOKUP('Données projet'!$B$9,Paramètres!$A$1:$I$89,3,0)*0.475*44/12</f>
        <v>6.6590406026427553</v>
      </c>
      <c r="AB76" s="21">
        <f>EXP(-LN(2)/2)*AB75+(1-EXP(-LN(2)/2))/(LN(2)/2)*V76*Y76*VLOOKUP('Données projet'!$B$9,Paramètres!$A$1:$I$89,3,0)*0.475*44/12</f>
        <v>2.0371415694435783E-6</v>
      </c>
      <c r="AC76" s="22">
        <f t="shared" si="57"/>
        <v>82.206441455413056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19.399999999999999</v>
      </c>
      <c r="AI76" s="13">
        <f>IF('Données projet'!$A$62&gt;35,AI75+AH76-AQ75,IF(A76&lt;'Données projet'!$A$62,$AF$205^A76,IF(A76='Données projet'!$A$62,'Données projet'!$B$62,AI75+AH76-AQ75)))</f>
        <v>890.19999999999925</v>
      </c>
      <c r="AJ76" s="13">
        <f>AI76*VLOOKUP('Données projet'!$B$10,Paramètres!$A$1:$I$89,3,0)*VLOOKUP('Données projet'!$B$10,Paramètres!$A$1:$I$89,5,0)</f>
        <v>416.61359999999962</v>
      </c>
      <c r="AK76" s="13">
        <f t="shared" si="89"/>
        <v>95.1367990415023</v>
      </c>
      <c r="AL76" s="20">
        <f t="shared" si="58"/>
        <v>891.29861166394903</v>
      </c>
      <c r="AM76" s="57">
        <f t="shared" si="59"/>
        <v>1184.6319449972823</v>
      </c>
      <c r="AN76" s="57">
        <f ca="1">AVERAGE(OFFSET($AM$3,0,0,'Données projet'!$E$10+1,1))-AVERAGE(OFFSET($H$3,0,0,'Données projet'!$E$10+1,1))</f>
        <v>524.3999528951972</v>
      </c>
      <c r="AO76" s="57">
        <f t="shared" si="90"/>
        <v>459.3547783500515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131.1462254041441</v>
      </c>
      <c r="AV76" s="21">
        <f>EXP(-LN(2)/25)*AV75+(1-EXP(-LN(2)/25))/(LN(2)/25)*Calculateur!AQ76*Calculateur!AS76*VLOOKUP('Données projet'!$B$10,Paramètres!$A$1:$I$89,3,0)*0.475*44/12</f>
        <v>16.221861405022533</v>
      </c>
      <c r="AW76" s="21">
        <f>EXP(-LN(2)/2)*AW75+(1-EXP(-LN(2)/2))/(LN(2)/2)*AQ76*AT76*VLOOKUP('Données projet'!$B$10,Paramètres!$A$1:$I$89,3,0)*0.475*44/12</f>
        <v>4.0199347478806311E-7</v>
      </c>
      <c r="AX76" s="21">
        <f t="shared" si="60"/>
        <v>147.36808721116012</v>
      </c>
      <c r="AY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20.399999999999999</v>
      </c>
      <c r="BD76" s="12">
        <f>IF('Données projet'!$A$88&gt;35,BD75+BC76-BL75,IF(A76&lt;'Données projet'!$A$88,$BA$205^A76,IF(A76='Données projet'!$A$88,'Données projet'!$B$88,BD75+BC76-BL75)))</f>
        <v>833.2</v>
      </c>
      <c r="BE76" s="13">
        <f>BD76*VLOOKUP('Données projet'!$B$11,Paramètres!$A$1:$I$89,3,0)*VLOOKUP('Données projet'!$B$11,Paramètres!$A$1:$I$89,5,0)</f>
        <v>400.76920000000001</v>
      </c>
      <c r="BF76" s="13">
        <f t="shared" si="91"/>
        <v>91.932591276196774</v>
      </c>
      <c r="BG76" s="20">
        <f t="shared" si="61"/>
        <v>858.12228647270933</v>
      </c>
      <c r="BH76" s="57">
        <f t="shared" si="62"/>
        <v>1151.4556198060427</v>
      </c>
      <c r="BI76" s="57">
        <f ca="1">AVERAGE(OFFSET($BH$3,0,0,'Données projet'!$E$11+1,1))-AVERAGE(OFFSET($H$3,0,0,'Données projet'!$E$11+1,1))</f>
        <v>495.6473104257044</v>
      </c>
      <c r="BJ76" s="57">
        <f t="shared" si="92"/>
        <v>430.92527296485201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133.69930567287452</v>
      </c>
      <c r="BQ76" s="21">
        <f>EXP(-LN(2)/25)*BQ75+(1-EXP(-LN(2)/25))/(LN(2)/25)*Calculateur!BL76*Calculateur!BN76*VLOOKUP('Données projet'!$B$11,Paramètres!$A$1:$I$89,3,0)*0.475*44/12</f>
        <v>15.28309627741706</v>
      </c>
      <c r="BR76" s="21">
        <f>EXP(-LN(2)/2)*BR75+(1-EXP(-LN(2)/2))/(LN(2)/2)*BL76*BO76*VLOOKUP('Données projet'!$B$11,Paramètres!$A$1:$I$89,3,0)*0.475*44/12</f>
        <v>2.4674830956319773E-7</v>
      </c>
      <c r="BS76" s="22">
        <f t="shared" si="63"/>
        <v>148.98240219703987</v>
      </c>
      <c r="BT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7" t="e">
        <f t="shared" si="65"/>
        <v>#NUM!</v>
      </c>
      <c r="CD76" s="57">
        <f ca="1">AVERAGE(OFFSET($CC$3,0,0,'Données projet'!$E$12+1,1))-AVERAGE(OFFSET($H$3,0,0,'Données projet'!$E$12+1,1))</f>
        <v>187.80389738728508</v>
      </c>
      <c r="CE76" s="57">
        <f t="shared" si="94"/>
        <v>439.28159165815265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52.706573979210454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4.1611387632761796E-7</v>
      </c>
      <c r="CN76" s="22">
        <f t="shared" si="66"/>
        <v>52.706574395324331</v>
      </c>
      <c r="CO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6.2</v>
      </c>
      <c r="CT76" s="12">
        <f>IF('Données projet'!$A$140&gt;35,CT75+CS76-DB75,IF(A76&lt;'Données projet'!$A$140,$CQ$205^A76,IF(A76='Données projet'!$A$140,'Données projet'!$B$140,CT75+CS76-DB75)))</f>
        <v>239.59999999999994</v>
      </c>
      <c r="CU76" s="17">
        <f>CT76*VLOOKUP('Données projet'!$B$13,Paramètres!$A$1:$I$89,3,0)*VLOOKUP('Données projet'!$B$13,Paramètres!$A$1:$I$89,5,0)</f>
        <v>216.79007999999996</v>
      </c>
      <c r="CV76" s="13">
        <f t="shared" si="95"/>
        <v>53.416629794462551</v>
      </c>
      <c r="CW76" s="20">
        <f t="shared" si="67"/>
        <v>470.61001955868886</v>
      </c>
      <c r="CX76" s="57">
        <f t="shared" si="68"/>
        <v>763.94335289202218</v>
      </c>
      <c r="CY76" s="57">
        <f ca="1">AVERAGE(OFFSET($CX$3,0,0,'Données projet'!$E$13+1,1))-AVERAGE(OFFSET($H$3,0,0,'Données projet'!$E$13+1,1))</f>
        <v>364.3481978218424</v>
      </c>
      <c r="CZ76" s="57">
        <f t="shared" si="96"/>
        <v>231.36959598460686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49.394568860480327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49.394568860480327</v>
      </c>
      <c r="DJ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255.00000000000006</v>
      </c>
      <c r="DP76" s="17">
        <f>DO76*VLOOKUP('Données projet'!$B$14,Paramètres!$A$1:$I$89,3,0)*VLOOKUP('Données projet'!$B$14,Paramètres!$A$1:$I$89,5,0)</f>
        <v>186.96600000000004</v>
      </c>
      <c r="DQ76" s="13">
        <f t="shared" si="97"/>
        <v>46.868551400324648</v>
      </c>
      <c r="DR76" s="20">
        <f t="shared" si="70"/>
        <v>407.26184368889881</v>
      </c>
      <c r="DS76" s="57">
        <f t="shared" si="71"/>
        <v>700.59517702223206</v>
      </c>
      <c r="DT76" s="57">
        <f ca="1">AVERAGE(OFFSET($DS$3,0,0,'Données projet'!$E$14+1,1))-AVERAGE(OFFSET($H$3,0,0,'Données projet'!$E$14+1,1))</f>
        <v>239.25212250019609</v>
      </c>
      <c r="DU76" s="57">
        <f t="shared" si="98"/>
        <v>213.58492101729695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9.4</v>
      </c>
      <c r="EJ76" s="12">
        <f>IF('Données projet'!$A$192&gt;35,EJ75+EI76-ER75,IF(A76&lt;'Données projet'!$A$192,$EG$205^A76,IF(A76='Données projet'!$A$192,'Données projet'!$B$192,EJ75+EI76-ER75)))</f>
        <v>316.19999999999987</v>
      </c>
      <c r="EK76" s="17">
        <f>EJ76*VLOOKUP('Données projet'!$B$15,Paramètres!$A$1:$I$89,3,0)*VLOOKUP('Données projet'!$B$15,Paramètres!$A$1:$I$89,5,0)</f>
        <v>271.29959999999994</v>
      </c>
      <c r="EL76" s="13">
        <f t="shared" si="99"/>
        <v>65.125000081857877</v>
      </c>
      <c r="EM76" s="20">
        <f t="shared" si="73"/>
        <v>585.93951180923568</v>
      </c>
      <c r="EN76" s="57">
        <f t="shared" si="74"/>
        <v>879.27284514256894</v>
      </c>
      <c r="EO76" s="57">
        <f ca="1">AVERAGE(OFFSET($EN$3,0,0,'Données projet'!$E$15+1,1))-AVERAGE(OFFSET($H$3,0,0,'Données projet'!$E$15+1,1))</f>
        <v>447.10969593632467</v>
      </c>
      <c r="EP76" s="57">
        <f t="shared" si="100"/>
        <v>256.77417912163997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76.976834123656928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76.976834123656928</v>
      </c>
      <c r="EZ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7" t="e">
        <f t="shared" si="77"/>
        <v>#N/A</v>
      </c>
      <c r="FJ76" s="57" t="e">
        <f ca="1">AVERAGE(OFFSET($FI$3,0,0,'Données projet'!$E$16+1,1))-AVERAGE(OFFSET($H$3,0,0,'Données projet'!$E$16+1,1))</f>
        <v>#N/A</v>
      </c>
      <c r="FK76" s="57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7" t="e">
        <f t="shared" si="80"/>
        <v>#N/A</v>
      </c>
      <c r="GE76" s="57" t="e">
        <f ca="1">AVERAGE(OFFSET($GD$3,0,0,'Données projet'!$E$17+1,1))-AVERAGE(OFFSET($H$3,0,0,'Données projet'!$E$17+1,1))</f>
        <v>#N/A</v>
      </c>
      <c r="GF76" s="57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7" t="e">
        <f t="shared" si="83"/>
        <v>#N/A</v>
      </c>
      <c r="GZ76" s="57" t="e">
        <f ca="1">AVERAGE(OFFSET($GY$3,0,0,'Données projet'!$E$18+1,1))-AVERAGE(OFFSET($H$3,0,0,'Données projet'!$E$18+1,1))</f>
        <v>#N/A</v>
      </c>
      <c r="HA76" s="57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0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4">
        <f t="shared" si="56"/>
        <v>256.66666666666669</v>
      </c>
      <c r="I77" s="6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636.99999999999977</v>
      </c>
      <c r="O77" s="13">
        <f>N77*VLOOKUP('Données projet'!$B$9,Paramètres!$A$1:$I$89,3,0)*VLOOKUP('Données projet'!$B$9,Paramètres!$A$1:$I$89,5,0)</f>
        <v>356.08299999999991</v>
      </c>
      <c r="P77" s="13">
        <f t="shared" si="87"/>
        <v>82.813805255716545</v>
      </c>
      <c r="Q77" s="20">
        <f t="shared" si="54"/>
        <v>764.41193582037283</v>
      </c>
      <c r="R77" s="57">
        <f t="shared" si="55"/>
        <v>1057.7452691537062</v>
      </c>
      <c r="S77" s="57">
        <f ca="1">AVERAGE(OFFSET($R$3,0,0,'Données projet'!$E$9+1,1))-AVERAGE(OFFSET($H$3,0,0,'Données projet'!$E$9+1,1))</f>
        <v>443.34220761968419</v>
      </c>
      <c r="T77" s="57">
        <f t="shared" si="88"/>
        <v>546.58234447298014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74.065960404217563</v>
      </c>
      <c r="AA77" s="21">
        <f>EXP(-LN(2)/25)*AA76+(1-EXP(-LN(2)/25))/(LN(2)/25)*Calculateur!V77*Calculateur!X77*VLOOKUP('Données projet'!$B$9,Paramètres!$A$1:$I$89,3,0)*0.475*44/12</f>
        <v>6.4769487871797633</v>
      </c>
      <c r="AB77" s="21">
        <f>EXP(-LN(2)/2)*AB76+(1-EXP(-LN(2)/2))/(LN(2)/2)*V77*Y77*VLOOKUP('Données projet'!$B$9,Paramètres!$A$1:$I$89,3,0)*0.475*44/12</f>
        <v>1.4404766179905604E-6</v>
      </c>
      <c r="AC77" s="22">
        <f t="shared" si="57"/>
        <v>80.542910631873951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19.399999999999999</v>
      </c>
      <c r="AI77" s="13">
        <f>IF('Données projet'!$A$62&gt;35,AI76+AH77-AQ76,IF(A77&lt;'Données projet'!$A$62,$AF$205^A77,IF(A77='Données projet'!$A$62,'Données projet'!$B$62,AI76+AH77-AQ76)))</f>
        <v>909.59999999999923</v>
      </c>
      <c r="AJ77" s="13">
        <f>AI77*VLOOKUP('Données projet'!$B$10,Paramètres!$A$1:$I$89,3,0)*VLOOKUP('Données projet'!$B$10,Paramètres!$A$1:$I$89,5,0)</f>
        <v>425.69279999999969</v>
      </c>
      <c r="AK77" s="13">
        <f t="shared" si="89"/>
        <v>96.966464207062799</v>
      </c>
      <c r="AL77" s="20">
        <f t="shared" si="58"/>
        <v>910.29821849396728</v>
      </c>
      <c r="AM77" s="57">
        <f t="shared" si="59"/>
        <v>1203.6315518273007</v>
      </c>
      <c r="AN77" s="57">
        <f ca="1">AVERAGE(OFFSET($AM$3,0,0,'Données projet'!$E$10+1,1))-AVERAGE(OFFSET($H$3,0,0,'Données projet'!$E$10+1,1))</f>
        <v>524.3999528951972</v>
      </c>
      <c r="AO77" s="57">
        <f t="shared" si="90"/>
        <v>459.3547783500515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128.57452791526785</v>
      </c>
      <c r="AV77" s="21">
        <f>EXP(-LN(2)/25)*AV76+(1-EXP(-LN(2)/25))/(LN(2)/25)*Calculateur!AQ77*Calculateur!AS77*VLOOKUP('Données projet'!$B$10,Paramètres!$A$1:$I$89,3,0)*0.475*44/12</f>
        <v>15.778273751831577</v>
      </c>
      <c r="AW77" s="21">
        <f>EXP(-LN(2)/2)*AW76+(1-EXP(-LN(2)/2))/(LN(2)/2)*AQ77*AT77*VLOOKUP('Données projet'!$B$10,Paramètres!$A$1:$I$89,3,0)*0.475*44/12</f>
        <v>2.8425231201538285E-7</v>
      </c>
      <c r="AX77" s="21">
        <f t="shared" si="60"/>
        <v>144.35280195135172</v>
      </c>
      <c r="AY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20.399999999999999</v>
      </c>
      <c r="BD77" s="12">
        <f>IF('Données projet'!$A$88&gt;35,BD76+BC77-BL76,IF(A77&lt;'Données projet'!$A$88,$BA$205^A77,IF(A77='Données projet'!$A$88,'Données projet'!$B$88,BD76+BC77-BL76)))</f>
        <v>853.6</v>
      </c>
      <c r="BE77" s="13">
        <f>BD77*VLOOKUP('Données projet'!$B$11,Paramètres!$A$1:$I$89,3,0)*VLOOKUP('Données projet'!$B$11,Paramètres!$A$1:$I$89,5,0)</f>
        <v>410.58159999999998</v>
      </c>
      <c r="BF77" s="13">
        <f t="shared" si="91"/>
        <v>93.91865141109129</v>
      </c>
      <c r="BG77" s="20">
        <f t="shared" si="61"/>
        <v>878.67127120765053</v>
      </c>
      <c r="BH77" s="57">
        <f t="shared" si="62"/>
        <v>1172.0046045409838</v>
      </c>
      <c r="BI77" s="57">
        <f ca="1">AVERAGE(OFFSET($BH$3,0,0,'Données projet'!$E$11+1,1))-AVERAGE(OFFSET($H$3,0,0,'Données projet'!$E$11+1,1))</f>
        <v>495.6473104257044</v>
      </c>
      <c r="BJ77" s="57">
        <f t="shared" si="92"/>
        <v>430.92527296485201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131.07754383715366</v>
      </c>
      <c r="BQ77" s="21">
        <f>EXP(-LN(2)/25)*BQ76+(1-EXP(-LN(2)/25))/(LN(2)/25)*Calculateur!BL77*Calculateur!BN77*VLOOKUP('Données projet'!$B$11,Paramètres!$A$1:$I$89,3,0)*0.475*44/12</f>
        <v>14.865179206007987</v>
      </c>
      <c r="BR77" s="21">
        <f>EXP(-LN(2)/2)*BR76+(1-EXP(-LN(2)/2))/(LN(2)/2)*BL77*BO77*VLOOKUP('Données projet'!$B$11,Paramètres!$A$1:$I$89,3,0)*0.475*44/12</f>
        <v>1.7447740293845455E-7</v>
      </c>
      <c r="BS77" s="22">
        <f t="shared" si="63"/>
        <v>145.94272321763904</v>
      </c>
      <c r="BT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7" t="e">
        <f t="shared" si="65"/>
        <v>#NUM!</v>
      </c>
      <c r="CD77" s="57">
        <f ca="1">AVERAGE(OFFSET($CC$3,0,0,'Données projet'!$E$12+1,1))-AVERAGE(OFFSET($H$3,0,0,'Données projet'!$E$12+1,1))</f>
        <v>187.80389738728508</v>
      </c>
      <c r="CE77" s="57">
        <f t="shared" si="94"/>
        <v>439.28159165815265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51.673030211313929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2.9423694369707905E-7</v>
      </c>
      <c r="CN77" s="22">
        <f t="shared" si="66"/>
        <v>51.673030505550869</v>
      </c>
      <c r="CO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6.2</v>
      </c>
      <c r="CT77" s="12">
        <f>IF('Données projet'!$A$140&gt;35,CT76+CS77-DB76,IF(A77&lt;'Données projet'!$A$140,$CQ$205^A77,IF(A77='Données projet'!$A$140,'Données projet'!$B$140,CT76+CS77-DB76)))</f>
        <v>245.79999999999993</v>
      </c>
      <c r="CU77" s="17">
        <f>CT77*VLOOKUP('Données projet'!$B$13,Paramètres!$A$1:$I$89,3,0)*VLOOKUP('Données projet'!$B$13,Paramètres!$A$1:$I$89,5,0)</f>
        <v>222.3998399999999</v>
      </c>
      <c r="CV77" s="13">
        <f t="shared" si="95"/>
        <v>54.636149281681448</v>
      </c>
      <c r="CW77" s="20">
        <f t="shared" si="67"/>
        <v>482.50434799892832</v>
      </c>
      <c r="CX77" s="57">
        <f t="shared" si="68"/>
        <v>775.83768133226158</v>
      </c>
      <c r="CY77" s="57">
        <f ca="1">AVERAGE(OFFSET($CX$3,0,0,'Données projet'!$E$13+1,1))-AVERAGE(OFFSET($H$3,0,0,'Données projet'!$E$13+1,1))</f>
        <v>364.3481978218424</v>
      </c>
      <c r="CZ77" s="57">
        <f t="shared" si="96"/>
        <v>231.36959598460686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48.42597149283845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48.42597149283845</v>
      </c>
      <c r="DJ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255.00000000000006</v>
      </c>
      <c r="DP77" s="17">
        <f>DO77*VLOOKUP('Données projet'!$B$14,Paramètres!$A$1:$I$89,3,0)*VLOOKUP('Données projet'!$B$14,Paramètres!$A$1:$I$89,5,0)</f>
        <v>186.96600000000004</v>
      </c>
      <c r="DQ77" s="13">
        <f t="shared" si="97"/>
        <v>46.868551400324648</v>
      </c>
      <c r="DR77" s="20">
        <f t="shared" si="70"/>
        <v>407.26184368889881</v>
      </c>
      <c r="DS77" s="57">
        <f t="shared" si="71"/>
        <v>700.59517702223206</v>
      </c>
      <c r="DT77" s="57">
        <f ca="1">AVERAGE(OFFSET($DS$3,0,0,'Données projet'!$E$14+1,1))-AVERAGE(OFFSET($H$3,0,0,'Données projet'!$E$14+1,1))</f>
        <v>239.25212250019609</v>
      </c>
      <c r="DU77" s="57">
        <f t="shared" si="98"/>
        <v>213.58492101729695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9.4</v>
      </c>
      <c r="EJ77" s="12">
        <f>IF('Données projet'!$A$192&gt;35,EJ76+EI77-ER76,IF(A77&lt;'Données projet'!$A$192,$EG$205^A77,IF(A77='Données projet'!$A$192,'Données projet'!$B$192,EJ76+EI77-ER76)))</f>
        <v>325.59999999999985</v>
      </c>
      <c r="EK77" s="17">
        <f>EJ77*VLOOKUP('Données projet'!$B$15,Paramètres!$A$1:$I$89,3,0)*VLOOKUP('Données projet'!$B$15,Paramètres!$A$1:$I$89,5,0)</f>
        <v>279.36479999999989</v>
      </c>
      <c r="EL77" s="13">
        <f t="shared" si="99"/>
        <v>66.832755122992182</v>
      </c>
      <c r="EM77" s="20">
        <f t="shared" si="73"/>
        <v>602.96074183921121</v>
      </c>
      <c r="EN77" s="57">
        <f t="shared" si="74"/>
        <v>896.29407517254458</v>
      </c>
      <c r="EO77" s="57">
        <f ca="1">AVERAGE(OFFSET($EN$3,0,0,'Données projet'!$E$15+1,1))-AVERAGE(OFFSET($H$3,0,0,'Données projet'!$E$15+1,1))</f>
        <v>447.10969593632467</v>
      </c>
      <c r="EP77" s="57">
        <f t="shared" si="100"/>
        <v>256.77417912163997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75.467365357724788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75.467365357724788</v>
      </c>
      <c r="EZ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7" t="e">
        <f t="shared" si="77"/>
        <v>#N/A</v>
      </c>
      <c r="FJ77" s="57" t="e">
        <f ca="1">AVERAGE(OFFSET($FI$3,0,0,'Données projet'!$E$16+1,1))-AVERAGE(OFFSET($H$3,0,0,'Données projet'!$E$16+1,1))</f>
        <v>#N/A</v>
      </c>
      <c r="FK77" s="57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7" t="e">
        <f t="shared" si="80"/>
        <v>#N/A</v>
      </c>
      <c r="GE77" s="57" t="e">
        <f ca="1">AVERAGE(OFFSET($GD$3,0,0,'Données projet'!$E$17+1,1))-AVERAGE(OFFSET($H$3,0,0,'Données projet'!$E$17+1,1))</f>
        <v>#N/A</v>
      </c>
      <c r="GF77" s="57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7" t="e">
        <f t="shared" si="83"/>
        <v>#N/A</v>
      </c>
      <c r="GZ77" s="57" t="e">
        <f ca="1">AVERAGE(OFFSET($GY$3,0,0,'Données projet'!$E$18+1,1))-AVERAGE(OFFSET($H$3,0,0,'Données projet'!$E$18+1,1))</f>
        <v>#N/A</v>
      </c>
      <c r="HA77" s="57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0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4">
        <f t="shared" si="56"/>
        <v>256.66666666666669</v>
      </c>
      <c r="I78" s="6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636.99999999999977</v>
      </c>
      <c r="O78" s="13">
        <f>N78*VLOOKUP('Données projet'!$B$9,Paramètres!$A$1:$I$89,3,0)*VLOOKUP('Données projet'!$B$9,Paramètres!$A$1:$I$89,5,0)</f>
        <v>356.08299999999991</v>
      </c>
      <c r="P78" s="13">
        <f t="shared" si="87"/>
        <v>82.813805255716545</v>
      </c>
      <c r="Q78" s="20">
        <f t="shared" si="54"/>
        <v>764.41193582037283</v>
      </c>
      <c r="R78" s="57">
        <f t="shared" si="55"/>
        <v>1057.7452691537062</v>
      </c>
      <c r="S78" s="57">
        <f ca="1">AVERAGE(OFFSET($R$3,0,0,'Données projet'!$E$9+1,1))-AVERAGE(OFFSET($H$3,0,0,'Données projet'!$E$9+1,1))</f>
        <v>443.34220761968419</v>
      </c>
      <c r="T78" s="57">
        <f t="shared" si="88"/>
        <v>546.58234447298014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72.613572096465973</v>
      </c>
      <c r="AA78" s="21">
        <f>EXP(-LN(2)/25)*AA77+(1-EXP(-LN(2)/25))/(LN(2)/25)*Calculateur!V78*Calculateur!X78*VLOOKUP('Données projet'!$B$9,Paramètres!$A$1:$I$89,3,0)*0.475*44/12</f>
        <v>6.2998362819863996</v>
      </c>
      <c r="AB78" s="21">
        <f>EXP(-LN(2)/2)*AB77+(1-EXP(-LN(2)/2))/(LN(2)/2)*V78*Y78*VLOOKUP('Données projet'!$B$9,Paramètres!$A$1:$I$89,3,0)*0.475*44/12</f>
        <v>1.0185707847217892E-6</v>
      </c>
      <c r="AC78" s="22">
        <f t="shared" si="57"/>
        <v>78.913409397023159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929</v>
      </c>
      <c r="AG78" s="12">
        <f>VLOOKUP(A78,'Données projet'!$A$61:$I$81,9,0)</f>
        <v>19.399999999999999</v>
      </c>
      <c r="AH78" s="12">
        <f t="array" ref="AH78">INDEX(AG:AG,MIN(IF(ISNUMBER(AG78:AG274),ROW(AG78:AG274),"")))</f>
        <v>19.399999999999999</v>
      </c>
      <c r="AI78" s="13">
        <f>IF('Données projet'!$A$62&gt;35,AI77+AH78-AQ77,IF(A78&lt;'Données projet'!$A$62,$AF$205^A78,IF(A78='Données projet'!$A$62,'Données projet'!$B$62,AI77+AH78-AQ77)))</f>
        <v>928.9999999999992</v>
      </c>
      <c r="AJ78" s="13">
        <f>AI78*VLOOKUP('Données projet'!$B$10,Paramètres!$A$1:$I$89,3,0)*VLOOKUP('Données projet'!$B$10,Paramètres!$A$1:$I$89,5,0)</f>
        <v>434.77199999999965</v>
      </c>
      <c r="AK78" s="13">
        <f t="shared" si="89"/>
        <v>98.791592342035244</v>
      </c>
      <c r="AL78" s="20">
        <f t="shared" si="58"/>
        <v>929.28992332904409</v>
      </c>
      <c r="AM78" s="57">
        <f t="shared" si="59"/>
        <v>1222.6232566623773</v>
      </c>
      <c r="AN78" s="57">
        <f ca="1">AVERAGE(OFFSET($AM$3,0,0,'Données projet'!$E$10+1,1))-AVERAGE(OFFSET($H$3,0,0,'Données projet'!$E$10+1,1))</f>
        <v>524.3999528951972</v>
      </c>
      <c r="AO78" s="57">
        <f t="shared" si="90"/>
        <v>459.3547783500515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54</v>
      </c>
      <c r="AR78" s="16">
        <f>IF(ISNA(VLOOKUP(A78,'Données projet'!$A$61:$I$81,5,0)),0%,VLOOKUP(A78,'Données projet'!$A$61:$I$81,5,0)*VLOOKUP('Données projet'!$B$10,Paramètres!$A$1:$I$89,7,0))</f>
        <v>0.55000000000000004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144.49197515039532</v>
      </c>
      <c r="AV78" s="21">
        <f>EXP(-LN(2)/25)*AV77+(1-EXP(-LN(2)/25))/(LN(2)/25)*Calculateur!AQ78*Calculateur!AS78*VLOOKUP('Données projet'!$B$10,Paramètres!$A$1:$I$89,3,0)*0.475*44/12</f>
        <v>15.346816026344388</v>
      </c>
      <c r="AW78" s="21">
        <f>EXP(-LN(2)/2)*AW77+(1-EXP(-LN(2)/2))/(LN(2)/2)*AQ78*AT78*VLOOKUP('Données projet'!$B$10,Paramètres!$A$1:$I$89,3,0)*0.475*44/12</f>
        <v>2.0099673739403156E-7</v>
      </c>
      <c r="AX78" s="21">
        <f t="shared" si="60"/>
        <v>159.83879137773644</v>
      </c>
      <c r="AY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874</v>
      </c>
      <c r="BB78" s="12">
        <f>VLOOKUP(A78,'Données projet'!$A$87:$I$107,9,0)</f>
        <v>20.399999999999999</v>
      </c>
      <c r="BC78" s="12">
        <f t="array" ref="BC78">INDEX(BB:BB,MIN(IF(ISNUMBER(BB78:BB274),ROW(BB78:BB274),"")))</f>
        <v>20.399999999999999</v>
      </c>
      <c r="BD78" s="12">
        <f>IF('Données projet'!$A$88&gt;35,BD77+BC78-BL77,IF(A78&lt;'Données projet'!$A$88,$BA$205^A78,IF(A78='Données projet'!$A$88,'Données projet'!$B$88,BD77+BC78-BL77)))</f>
        <v>874</v>
      </c>
      <c r="BE78" s="13">
        <f>BD78*VLOOKUP('Données projet'!$B$11,Paramètres!$A$1:$I$89,3,0)*VLOOKUP('Données projet'!$B$11,Paramètres!$A$1:$I$89,5,0)</f>
        <v>420.39400000000001</v>
      </c>
      <c r="BF78" s="13">
        <f t="shared" si="91"/>
        <v>95.899193810129589</v>
      </c>
      <c r="BG78" s="20">
        <f t="shared" si="61"/>
        <v>899.21064588597574</v>
      </c>
      <c r="BH78" s="57">
        <f t="shared" si="62"/>
        <v>1192.543979219309</v>
      </c>
      <c r="BI78" s="57">
        <f ca="1">AVERAGE(OFFSET($BH$3,0,0,'Données projet'!$E$11+1,1))-AVERAGE(OFFSET($H$3,0,0,'Données projet'!$E$11+1,1))</f>
        <v>495.6473104257044</v>
      </c>
      <c r="BJ78" s="57">
        <f t="shared" si="92"/>
        <v>430.92527296485201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58</v>
      </c>
      <c r="BM78" s="16">
        <f>IF(ISNA(VLOOKUP(A78,'Données projet'!$A$87:$I$107,5,0)),0%,VLOOKUP(A78,'Données projet'!$A$87:$I$107,5,0)*VLOOKUP('Données projet'!$B$11,Paramètres!$A$1:$I$89,7,0))</f>
        <v>0.55000000000000004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148.86186549973323</v>
      </c>
      <c r="BQ78" s="21">
        <f>EXP(-LN(2)/25)*BQ77+(1-EXP(-LN(2)/25))/(LN(2)/25)*Calculateur!BL78*Calculateur!BN78*VLOOKUP('Données projet'!$B$11,Paramètres!$A$1:$I$89,3,0)*0.475*44/12</f>
        <v>14.458690098893898</v>
      </c>
      <c r="BR78" s="21">
        <f>EXP(-LN(2)/2)*BR77+(1-EXP(-LN(2)/2))/(LN(2)/2)*BL78*BO78*VLOOKUP('Données projet'!$B$11,Paramètres!$A$1:$I$89,3,0)*0.475*44/12</f>
        <v>1.2337415478159886E-7</v>
      </c>
      <c r="BS78" s="22">
        <f t="shared" si="63"/>
        <v>163.32055572200127</v>
      </c>
      <c r="BT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7" t="e">
        <f t="shared" si="65"/>
        <v>#NUM!</v>
      </c>
      <c r="CD78" s="57">
        <f ca="1">AVERAGE(OFFSET($CC$3,0,0,'Données projet'!$E$12+1,1))-AVERAGE(OFFSET($H$3,0,0,'Données projet'!$E$12+1,1))</f>
        <v>187.80389738728508</v>
      </c>
      <c r="CE78" s="57">
        <f t="shared" si="94"/>
        <v>439.28159165815265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50.659753606306403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2.0805693816380898E-7</v>
      </c>
      <c r="CN78" s="22">
        <f t="shared" si="66"/>
        <v>50.659753814363341</v>
      </c>
      <c r="CO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252</v>
      </c>
      <c r="CR78" s="12">
        <f>VLOOKUP(A78,'Données projet'!$A$139:$I$159,9,0)</f>
        <v>6.2</v>
      </c>
      <c r="CS78" s="12">
        <f t="array" ref="CS78">INDEX(CR:CR,MIN(IF(ISNUMBER(CR78:CR274),ROW(CR78:CR274),"")))</f>
        <v>6.2</v>
      </c>
      <c r="CT78" s="12">
        <f>IF('Données projet'!$A$140&gt;35,CT77+CS78-DB77,IF(A78&lt;'Données projet'!$A$140,$CQ$205^A78,IF(A78='Données projet'!$A$140,'Données projet'!$B$140,CT77+CS78-DB77)))</f>
        <v>251.99999999999991</v>
      </c>
      <c r="CU78" s="17">
        <f>CT78*VLOOKUP('Données projet'!$B$13,Paramètres!$A$1:$I$89,3,0)*VLOOKUP('Données projet'!$B$13,Paramètres!$A$1:$I$89,5,0)</f>
        <v>228.00959999999992</v>
      </c>
      <c r="CV78" s="13">
        <f t="shared" si="95"/>
        <v>55.852093054619829</v>
      </c>
      <c r="CW78" s="20">
        <f t="shared" si="67"/>
        <v>494.3924487367961</v>
      </c>
      <c r="CX78" s="57">
        <f t="shared" si="68"/>
        <v>787.72578207012941</v>
      </c>
      <c r="CY78" s="57">
        <f ca="1">AVERAGE(OFFSET($CX$3,0,0,'Données projet'!$E$13+1,1))-AVERAGE(OFFSET($H$3,0,0,'Données projet'!$E$13+1,1))</f>
        <v>364.3481978218424</v>
      </c>
      <c r="CZ78" s="57">
        <f t="shared" si="96"/>
        <v>231.36959598460686</v>
      </c>
      <c r="DA78" s="15">
        <f>IF(ISNA(VLOOKUP(A78,'Données projet'!$A$139:$I$159,3,0)),0,VLOOKUP(A78,'Données projet'!$A$139:$I$159,3,0))</f>
        <v>11</v>
      </c>
      <c r="DB78" s="15">
        <f>IF(ISNA(VLOOKUP(A78,'Données projet'!$A$139:$I$159,4,0)),0,VLOOKUP(A78,'Données projet'!$A$139:$I$159,4,0))</f>
        <v>21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56.508441011384726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56.508441011384726</v>
      </c>
      <c r="DJ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255.00000000000006</v>
      </c>
      <c r="DP78" s="17">
        <f>DO78*VLOOKUP('Données projet'!$B$14,Paramètres!$A$1:$I$89,3,0)*VLOOKUP('Données projet'!$B$14,Paramètres!$A$1:$I$89,5,0)</f>
        <v>186.96600000000004</v>
      </c>
      <c r="DQ78" s="13">
        <f t="shared" si="97"/>
        <v>46.868551400324648</v>
      </c>
      <c r="DR78" s="20">
        <f t="shared" si="70"/>
        <v>407.26184368889881</v>
      </c>
      <c r="DS78" s="57">
        <f t="shared" si="71"/>
        <v>700.59517702223206</v>
      </c>
      <c r="DT78" s="57">
        <f ca="1">AVERAGE(OFFSET($DS$3,0,0,'Données projet'!$E$14+1,1))-AVERAGE(OFFSET($H$3,0,0,'Données projet'!$E$14+1,1))</f>
        <v>239.25212250019609</v>
      </c>
      <c r="DU78" s="57">
        <f t="shared" si="98"/>
        <v>213.58492101729695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335</v>
      </c>
      <c r="EH78" s="12">
        <f>VLOOKUP(A78,'Données projet'!$A$191:$I$211,9,0)</f>
        <v>9.4</v>
      </c>
      <c r="EI78" s="12">
        <f t="array" ref="EI78">INDEX(EH:EH,MIN(IF(ISNUMBER(EH78:EH274),ROW(EH78:EH274),"")))</f>
        <v>9.4</v>
      </c>
      <c r="EJ78" s="12">
        <f>IF('Données projet'!$A$192&gt;35,EJ77+EI78-ER77,IF(A78&lt;'Données projet'!$A$192,$EG$205^A78,IF(A78='Données projet'!$A$192,'Données projet'!$B$192,EJ77+EI78-ER77)))</f>
        <v>334.99999999999983</v>
      </c>
      <c r="EK78" s="17">
        <f>EJ78*VLOOKUP('Données projet'!$B$15,Paramètres!$A$1:$I$89,3,0)*VLOOKUP('Données projet'!$B$15,Paramètres!$A$1:$I$89,5,0)</f>
        <v>287.42999999999989</v>
      </c>
      <c r="EL78" s="13">
        <f t="shared" si="99"/>
        <v>68.534780142555746</v>
      </c>
      <c r="EM78" s="20">
        <f t="shared" si="73"/>
        <v>619.97199208161771</v>
      </c>
      <c r="EN78" s="57">
        <f t="shared" si="74"/>
        <v>913.30532541495108</v>
      </c>
      <c r="EO78" s="57">
        <f ca="1">AVERAGE(OFFSET($EN$3,0,0,'Données projet'!$E$15+1,1))-AVERAGE(OFFSET($H$3,0,0,'Données projet'!$E$15+1,1))</f>
        <v>447.10969593632467</v>
      </c>
      <c r="EP78" s="57">
        <f t="shared" si="100"/>
        <v>256.77417912163997</v>
      </c>
      <c r="EQ78" s="15">
        <f>IF(ISNA(VLOOKUP(A78,'Données projet'!$A$191:$I$211,3,0)),0,VLOOKUP(A78,'Données projet'!$A$191:$I$211,3,0))</f>
        <v>11</v>
      </c>
      <c r="ER78" s="15">
        <f>IF(ISNA(VLOOKUP(A78,'Données projet'!$A$191:$I$211,4,0)),0,VLOOKUP(A78,'Données projet'!$A$191:$I$211,4,0))</f>
        <v>28</v>
      </c>
      <c r="ES78" s="16">
        <f>IF(ISNA(VLOOKUP(A78,'Données projet'!$A$191:$I$211,5,0)),0%,VLOOKUP(A78,'Données projet'!$A$191:$I$211,5,0)*VLOOKUP('Données projet'!$B$15,Paramètres!$A$1:$I$89,7,0))</f>
        <v>0.53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88.063141164494326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88.063141164494326</v>
      </c>
      <c r="EZ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7" t="e">
        <f t="shared" si="77"/>
        <v>#N/A</v>
      </c>
      <c r="FJ78" s="57" t="e">
        <f ca="1">AVERAGE(OFFSET($FI$3,0,0,'Données projet'!$E$16+1,1))-AVERAGE(OFFSET($H$3,0,0,'Données projet'!$E$16+1,1))</f>
        <v>#N/A</v>
      </c>
      <c r="FK78" s="57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7" t="e">
        <f t="shared" si="80"/>
        <v>#N/A</v>
      </c>
      <c r="GE78" s="57" t="e">
        <f ca="1">AVERAGE(OFFSET($GD$3,0,0,'Données projet'!$E$17+1,1))-AVERAGE(OFFSET($H$3,0,0,'Données projet'!$E$17+1,1))</f>
        <v>#N/A</v>
      </c>
      <c r="GF78" s="57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7" t="e">
        <f t="shared" si="83"/>
        <v>#N/A</v>
      </c>
      <c r="GZ78" s="57" t="e">
        <f ca="1">AVERAGE(OFFSET($GY$3,0,0,'Données projet'!$E$18+1,1))-AVERAGE(OFFSET($H$3,0,0,'Données projet'!$E$18+1,1))</f>
        <v>#N/A</v>
      </c>
      <c r="HA78" s="57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0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4">
        <f t="shared" si="56"/>
        <v>256.66666666666669</v>
      </c>
      <c r="I79" s="6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636.99999999999977</v>
      </c>
      <c r="O79" s="13">
        <f>N79*VLOOKUP('Données projet'!$B$9,Paramètres!$A$1:$I$89,3,0)*VLOOKUP('Données projet'!$B$9,Paramètres!$A$1:$I$89,5,0)</f>
        <v>356.08299999999991</v>
      </c>
      <c r="P79" s="13">
        <f t="shared" si="87"/>
        <v>82.813805255716545</v>
      </c>
      <c r="Q79" s="20">
        <f t="shared" si="54"/>
        <v>764.41193582037283</v>
      </c>
      <c r="R79" s="57">
        <f t="shared" si="55"/>
        <v>1057.7452691537062</v>
      </c>
      <c r="S79" s="57">
        <f ca="1">AVERAGE(OFFSET($R$3,0,0,'Données projet'!$E$9+1,1))-AVERAGE(OFFSET($H$3,0,0,'Données projet'!$E$9+1,1))</f>
        <v>443.34220761968419</v>
      </c>
      <c r="T79" s="57">
        <f t="shared" si="88"/>
        <v>546.58234447298014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71.189664237559995</v>
      </c>
      <c r="AA79" s="21">
        <f>EXP(-LN(2)/25)*AA78+(1-EXP(-LN(2)/25))/(LN(2)/25)*Calculateur!V79*Calculateur!X79*VLOOKUP('Données projet'!$B$9,Paramètres!$A$1:$I$89,3,0)*0.475*44/12</f>
        <v>6.1275669275614897</v>
      </c>
      <c r="AB79" s="21">
        <f>EXP(-LN(2)/2)*AB78+(1-EXP(-LN(2)/2))/(LN(2)/2)*V79*Y79*VLOOKUP('Données projet'!$B$9,Paramètres!$A$1:$I$89,3,0)*0.475*44/12</f>
        <v>7.2023830899528018E-7</v>
      </c>
      <c r="AC79" s="22">
        <f t="shared" si="57"/>
        <v>77.317231885359789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17.8</v>
      </c>
      <c r="AI79" s="13">
        <f>IF('Données projet'!$A$62&gt;35,AI78+AH79-AQ78,IF(A79&lt;'Données projet'!$A$62,$AF$205^A79,IF(A79='Données projet'!$A$62,'Données projet'!$B$62,AI78+AH79-AQ78)))</f>
        <v>892.79999999999916</v>
      </c>
      <c r="AJ79" s="13">
        <f>AI79*VLOOKUP('Données projet'!$B$10,Paramètres!$A$1:$I$89,3,0)*VLOOKUP('Données projet'!$B$10,Paramètres!$A$1:$I$89,5,0)</f>
        <v>417.8303999999996</v>
      </c>
      <c r="AK79" s="13">
        <f t="shared" si="89"/>
        <v>95.382279118575255</v>
      </c>
      <c r="AL79" s="20">
        <f t="shared" si="58"/>
        <v>893.84541613151794</v>
      </c>
      <c r="AM79" s="57">
        <f t="shared" si="59"/>
        <v>1187.1787494648513</v>
      </c>
      <c r="AN79" s="57">
        <f ca="1">AVERAGE(OFFSET($AM$3,0,0,'Données projet'!$E$10+1,1))-AVERAGE(OFFSET($H$3,0,0,'Données projet'!$E$10+1,1))</f>
        <v>524.3999528951972</v>
      </c>
      <c r="AO79" s="57">
        <f t="shared" si="90"/>
        <v>459.3547783500515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141.65857564909865</v>
      </c>
      <c r="AV79" s="21">
        <f>EXP(-LN(2)/25)*AV78+(1-EXP(-LN(2)/25))/(LN(2)/25)*Calculateur!AQ79*Calculateur!AS79*VLOOKUP('Données projet'!$B$10,Paramètres!$A$1:$I$89,3,0)*0.475*44/12</f>
        <v>14.927156535050022</v>
      </c>
      <c r="AW79" s="21">
        <f>EXP(-LN(2)/2)*AW78+(1-EXP(-LN(2)/2))/(LN(2)/2)*AQ79*AT79*VLOOKUP('Données projet'!$B$10,Paramètres!$A$1:$I$89,3,0)*0.475*44/12</f>
        <v>1.4212615600769142E-7</v>
      </c>
      <c r="AX79" s="21">
        <f t="shared" si="60"/>
        <v>156.58573232627484</v>
      </c>
      <c r="AY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18.600000000000001</v>
      </c>
      <c r="BD79" s="12">
        <f>IF('Données projet'!$A$88&gt;35,BD78+BC79-BL78,IF(A79&lt;'Données projet'!$A$88,$BA$205^A79,IF(A79='Données projet'!$A$88,'Données projet'!$B$88,BD78+BC79-BL78)))</f>
        <v>834.6</v>
      </c>
      <c r="BE79" s="13">
        <f>BD79*VLOOKUP('Données projet'!$B$11,Paramètres!$A$1:$I$89,3,0)*VLOOKUP('Données projet'!$B$11,Paramètres!$A$1:$I$89,5,0)</f>
        <v>401.44260000000003</v>
      </c>
      <c r="BF79" s="13">
        <f t="shared" si="91"/>
        <v>92.069068926669985</v>
      </c>
      <c r="BG79" s="20">
        <f t="shared" si="61"/>
        <v>859.53282338061706</v>
      </c>
      <c r="BH79" s="57">
        <f t="shared" si="62"/>
        <v>1152.8661567139504</v>
      </c>
      <c r="BI79" s="57">
        <f ca="1">AVERAGE(OFFSET($BH$3,0,0,'Données projet'!$E$11+1,1))-AVERAGE(OFFSET($H$3,0,0,'Données projet'!$E$11+1,1))</f>
        <v>495.6473104257044</v>
      </c>
      <c r="BJ79" s="57">
        <f t="shared" si="92"/>
        <v>430.92527296485201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145.94277511405599</v>
      </c>
      <c r="BQ79" s="21">
        <f>EXP(-LN(2)/25)*BQ78+(1-EXP(-LN(2)/25))/(LN(2)/25)*Calculateur!BL79*Calculateur!BN79*VLOOKUP('Données projet'!$B$11,Paramètres!$A$1:$I$89,3,0)*0.475*44/12</f>
        <v>14.063316457790178</v>
      </c>
      <c r="BR79" s="21">
        <f>EXP(-LN(2)/2)*BR78+(1-EXP(-LN(2)/2))/(LN(2)/2)*BL79*BO79*VLOOKUP('Données projet'!$B$11,Paramètres!$A$1:$I$89,3,0)*0.475*44/12</f>
        <v>8.7238701469227274E-8</v>
      </c>
      <c r="BS79" s="22">
        <f t="shared" si="63"/>
        <v>160.00609165908486</v>
      </c>
      <c r="BT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7" t="e">
        <f t="shared" si="65"/>
        <v>#NUM!</v>
      </c>
      <c r="CD79" s="57">
        <f ca="1">AVERAGE(OFFSET($CC$3,0,0,'Données projet'!$E$12+1,1))-AVERAGE(OFFSET($H$3,0,0,'Données projet'!$E$12+1,1))</f>
        <v>187.80389738728508</v>
      </c>
      <c r="CE79" s="57">
        <f t="shared" si="94"/>
        <v>439.28159165815265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49.66634673748537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1.4711847184853952E-7</v>
      </c>
      <c r="CN79" s="22">
        <f t="shared" si="66"/>
        <v>49.66634688460384</v>
      </c>
      <c r="CO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</v>
      </c>
      <c r="CT79" s="12">
        <f>IF('Données projet'!$A$140&gt;35,CT78+CS79-DB78,IF(A79&lt;'Données projet'!$A$140,$CQ$205^A79,IF(A79='Données projet'!$A$140,'Données projet'!$B$140,CT78+CS79-DB78)))</f>
        <v>236.99999999999989</v>
      </c>
      <c r="CU79" s="17">
        <f>CT79*VLOOKUP('Données projet'!$B$13,Paramètres!$A$1:$I$89,3,0)*VLOOKUP('Données projet'!$B$13,Paramètres!$A$1:$I$89,5,0)</f>
        <v>214.43759999999989</v>
      </c>
      <c r="CV79" s="13">
        <f t="shared" si="95"/>
        <v>52.904129603372375</v>
      </c>
      <c r="CW79" s="20">
        <f t="shared" si="67"/>
        <v>465.62017905920658</v>
      </c>
      <c r="CX79" s="57">
        <f t="shared" si="68"/>
        <v>758.95351239253989</v>
      </c>
      <c r="CY79" s="57">
        <f ca="1">AVERAGE(OFFSET($CX$3,0,0,'Données projet'!$E$13+1,1))-AVERAGE(OFFSET($H$3,0,0,'Données projet'!$E$13+1,1))</f>
        <v>364.3481978218424</v>
      </c>
      <c r="CZ79" s="57">
        <f t="shared" si="96"/>
        <v>231.36959598460686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55.400344949897182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55.400344949897182</v>
      </c>
      <c r="DJ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255.00000000000006</v>
      </c>
      <c r="DP79" s="17">
        <f>DO79*VLOOKUP('Données projet'!$B$14,Paramètres!$A$1:$I$89,3,0)*VLOOKUP('Données projet'!$B$14,Paramètres!$A$1:$I$89,5,0)</f>
        <v>186.96600000000004</v>
      </c>
      <c r="DQ79" s="13">
        <f t="shared" si="97"/>
        <v>46.868551400324648</v>
      </c>
      <c r="DR79" s="20">
        <f t="shared" si="70"/>
        <v>407.26184368889881</v>
      </c>
      <c r="DS79" s="57">
        <f t="shared" si="71"/>
        <v>700.59517702223206</v>
      </c>
      <c r="DT79" s="57">
        <f ca="1">AVERAGE(OFFSET($DS$3,0,0,'Données projet'!$E$14+1,1))-AVERAGE(OFFSET($H$3,0,0,'Données projet'!$E$14+1,1))</f>
        <v>239.25212250019609</v>
      </c>
      <c r="DU79" s="57">
        <f t="shared" si="98"/>
        <v>213.58492101729695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8.8000000000000007</v>
      </c>
      <c r="EJ79" s="12">
        <f>IF('Données projet'!$A$192&gt;35,EJ78+EI79-ER78,IF(A79&lt;'Données projet'!$A$192,$EG$205^A79,IF(A79='Données projet'!$A$192,'Données projet'!$B$192,EJ78+EI79-ER78)))</f>
        <v>315.79999999999984</v>
      </c>
      <c r="EK79" s="17">
        <f>EJ79*VLOOKUP('Données projet'!$B$15,Paramètres!$A$1:$I$89,3,0)*VLOOKUP('Données projet'!$B$15,Paramètres!$A$1:$I$89,5,0)</f>
        <v>270.95639999999986</v>
      </c>
      <c r="EL79" s="13">
        <f t="shared" si="99"/>
        <v>65.052199716598722</v>
      </c>
      <c r="EM79" s="20">
        <f t="shared" si="73"/>
        <v>585.21497783974257</v>
      </c>
      <c r="EN79" s="57">
        <f t="shared" si="74"/>
        <v>878.54831117307594</v>
      </c>
      <c r="EO79" s="57">
        <f ca="1">AVERAGE(OFFSET($EN$3,0,0,'Données projet'!$E$15+1,1))-AVERAGE(OFFSET($H$3,0,0,'Données projet'!$E$15+1,1))</f>
        <v>447.10969593632467</v>
      </c>
      <c r="EP79" s="57">
        <f t="shared" si="100"/>
        <v>256.77417912163997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86.33627667947097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86.33627667947097</v>
      </c>
      <c r="EZ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7" t="e">
        <f t="shared" si="77"/>
        <v>#N/A</v>
      </c>
      <c r="FJ79" s="57" t="e">
        <f ca="1">AVERAGE(OFFSET($FI$3,0,0,'Données projet'!$E$16+1,1))-AVERAGE(OFFSET($H$3,0,0,'Données projet'!$E$16+1,1))</f>
        <v>#N/A</v>
      </c>
      <c r="FK79" s="57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7" t="e">
        <f t="shared" si="80"/>
        <v>#N/A</v>
      </c>
      <c r="GE79" s="57" t="e">
        <f ca="1">AVERAGE(OFFSET($GD$3,0,0,'Données projet'!$E$17+1,1))-AVERAGE(OFFSET($H$3,0,0,'Données projet'!$E$17+1,1))</f>
        <v>#N/A</v>
      </c>
      <c r="GF79" s="57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7" t="e">
        <f t="shared" si="83"/>
        <v>#N/A</v>
      </c>
      <c r="GZ79" s="57" t="e">
        <f ca="1">AVERAGE(OFFSET($GY$3,0,0,'Données projet'!$E$18+1,1))-AVERAGE(OFFSET($H$3,0,0,'Données projet'!$E$18+1,1))</f>
        <v>#N/A</v>
      </c>
      <c r="HA79" s="57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0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4">
        <f t="shared" si="56"/>
        <v>256.66666666666669</v>
      </c>
      <c r="I80" s="6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636.99999999999977</v>
      </c>
      <c r="O80" s="13">
        <f>N80*VLOOKUP('Données projet'!$B$9,Paramètres!$A$1:$I$89,3,0)*VLOOKUP('Données projet'!$B$9,Paramètres!$A$1:$I$89,5,0)</f>
        <v>356.08299999999991</v>
      </c>
      <c r="P80" s="13">
        <f t="shared" si="87"/>
        <v>82.813805255716545</v>
      </c>
      <c r="Q80" s="20">
        <f t="shared" si="54"/>
        <v>764.41193582037283</v>
      </c>
      <c r="R80" s="57">
        <f t="shared" si="55"/>
        <v>1057.7452691537062</v>
      </c>
      <c r="S80" s="57">
        <f ca="1">AVERAGE(OFFSET($R$3,0,0,'Données projet'!$E$9+1,1))-AVERAGE(OFFSET($H$3,0,0,'Données projet'!$E$9+1,1))</f>
        <v>443.34220761968419</v>
      </c>
      <c r="T80" s="57">
        <f t="shared" si="88"/>
        <v>546.58234447298014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69.793678343269121</v>
      </c>
      <c r="AA80" s="21">
        <f>EXP(-LN(2)/25)*AA79+(1-EXP(-LN(2)/25))/(LN(2)/25)*Calculateur!V80*Calculateur!X80*VLOOKUP('Données projet'!$B$9,Paramètres!$A$1:$I$89,3,0)*0.475*44/12</f>
        <v>5.9600082876925811</v>
      </c>
      <c r="AB80" s="21">
        <f>EXP(-LN(2)/2)*AB79+(1-EXP(-LN(2)/2))/(LN(2)/2)*V80*Y80*VLOOKUP('Données projet'!$B$9,Paramètres!$A$1:$I$89,3,0)*0.475*44/12</f>
        <v>5.0928539236089458E-7</v>
      </c>
      <c r="AC80" s="22">
        <f t="shared" si="57"/>
        <v>75.753687140247095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17.8</v>
      </c>
      <c r="AI80" s="13">
        <f>IF('Données projet'!$A$62&gt;35,AI79+AH80-AQ79,IF(A80&lt;'Données projet'!$A$62,$AF$205^A80,IF(A80='Données projet'!$A$62,'Données projet'!$B$62,AI79+AH80-AQ79)))</f>
        <v>910.59999999999911</v>
      </c>
      <c r="AJ80" s="13">
        <f>AI80*VLOOKUP('Données projet'!$B$10,Paramètres!$A$1:$I$89,3,0)*VLOOKUP('Données projet'!$B$10,Paramètres!$A$1:$I$89,5,0)</f>
        <v>426.1607999999996</v>
      </c>
      <c r="AK80" s="13">
        <f t="shared" si="89"/>
        <v>97.060652958029095</v>
      </c>
      <c r="AL80" s="20">
        <f t="shared" si="58"/>
        <v>911.27736390190012</v>
      </c>
      <c r="AM80" s="57">
        <f t="shared" si="59"/>
        <v>1204.6106972352334</v>
      </c>
      <c r="AN80" s="57">
        <f ca="1">AVERAGE(OFFSET($AM$3,0,0,'Données projet'!$E$10+1,1))-AVERAGE(OFFSET($H$3,0,0,'Données projet'!$E$10+1,1))</f>
        <v>524.3999528951972</v>
      </c>
      <c r="AO80" s="57">
        <f t="shared" si="90"/>
        <v>459.3547783500515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138.88073738381937</v>
      </c>
      <c r="AV80" s="21">
        <f>EXP(-LN(2)/25)*AV79+(1-EXP(-LN(2)/25))/(LN(2)/25)*Calculateur!AQ80*Calculateur!AS80*VLOOKUP('Données projet'!$B$10,Paramètres!$A$1:$I$89,3,0)*0.475*44/12</f>
        <v>14.518972654614034</v>
      </c>
      <c r="AW80" s="21">
        <f>EXP(-LN(2)/2)*AW79+(1-EXP(-LN(2)/2))/(LN(2)/2)*AQ80*AT80*VLOOKUP('Données projet'!$B$10,Paramètres!$A$1:$I$89,3,0)*0.475*44/12</f>
        <v>1.0049836869701578E-7</v>
      </c>
      <c r="AX80" s="21">
        <f t="shared" si="60"/>
        <v>153.39971013893177</v>
      </c>
      <c r="AY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18.600000000000001</v>
      </c>
      <c r="BD80" s="12">
        <f>IF('Données projet'!$A$88&gt;35,BD79+BC80-BL79,IF(A80&lt;'Données projet'!$A$88,$BA$205^A80,IF(A80='Données projet'!$A$88,'Données projet'!$B$88,BD79+BC80-BL79)))</f>
        <v>853.2</v>
      </c>
      <c r="BE80" s="13">
        <f>BD80*VLOOKUP('Données projet'!$B$11,Paramètres!$A$1:$I$89,3,0)*VLOOKUP('Données projet'!$B$11,Paramètres!$A$1:$I$89,5,0)</f>
        <v>410.38920000000007</v>
      </c>
      <c r="BF80" s="13">
        <f t="shared" si="91"/>
        <v>93.879762571330062</v>
      </c>
      <c r="BG80" s="20">
        <f t="shared" si="61"/>
        <v>878.26844314506661</v>
      </c>
      <c r="BH80" s="57">
        <f t="shared" si="62"/>
        <v>1171.6017764783999</v>
      </c>
      <c r="BI80" s="57">
        <f ca="1">AVERAGE(OFFSET($BH$3,0,0,'Données projet'!$E$11+1,1))-AVERAGE(OFFSET($H$3,0,0,'Données projet'!$E$11+1,1))</f>
        <v>495.6473104257044</v>
      </c>
      <c r="BJ80" s="57">
        <f t="shared" si="92"/>
        <v>430.92527296485201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143.08092631037255</v>
      </c>
      <c r="BQ80" s="21">
        <f>EXP(-LN(2)/25)*BQ79+(1-EXP(-LN(2)/25))/(LN(2)/25)*Calculateur!BL80*Calculateur!BN80*VLOOKUP('Données projet'!$B$11,Paramètres!$A$1:$I$89,3,0)*0.475*44/12</f>
        <v>13.678754329694234</v>
      </c>
      <c r="BR80" s="21">
        <f>EXP(-LN(2)/2)*BR79+(1-EXP(-LN(2)/2))/(LN(2)/2)*BL80*BO80*VLOOKUP('Données projet'!$B$11,Paramètres!$A$1:$I$89,3,0)*0.475*44/12</f>
        <v>6.1687077390799432E-8</v>
      </c>
      <c r="BS80" s="22">
        <f t="shared" si="63"/>
        <v>156.75968070175387</v>
      </c>
      <c r="BT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7" t="e">
        <f t="shared" si="65"/>
        <v>#NUM!</v>
      </c>
      <c r="CD80" s="57">
        <f ca="1">AVERAGE(OFFSET($CC$3,0,0,'Données projet'!$E$12+1,1))-AVERAGE(OFFSET($H$3,0,0,'Données projet'!$E$12+1,1))</f>
        <v>187.80389738728508</v>
      </c>
      <c r="CE80" s="57">
        <f t="shared" si="94"/>
        <v>439.28159165815265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48.692419971443556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1.0402846908190449E-7</v>
      </c>
      <c r="CN80" s="22">
        <f t="shared" si="66"/>
        <v>48.692420075472022</v>
      </c>
      <c r="CO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</v>
      </c>
      <c r="CT80" s="12">
        <f>IF('Données projet'!$A$140&gt;35,CT79+CS80-DB79,IF(A80&lt;'Données projet'!$A$140,$CQ$205^A80,IF(A80='Données projet'!$A$140,'Données projet'!$B$140,CT79+CS80-DB79)))</f>
        <v>242.99999999999989</v>
      </c>
      <c r="CU80" s="17">
        <f>CT80*VLOOKUP('Données projet'!$B$13,Paramètres!$A$1:$I$89,3,0)*VLOOKUP('Données projet'!$B$13,Paramètres!$A$1:$I$89,5,0)</f>
        <v>219.86639999999989</v>
      </c>
      <c r="CV80" s="13">
        <f t="shared" si="95"/>
        <v>54.085847394182416</v>
      </c>
      <c r="CW80" s="20">
        <f t="shared" si="67"/>
        <v>477.13349754486745</v>
      </c>
      <c r="CX80" s="57">
        <f t="shared" si="68"/>
        <v>770.46683087820077</v>
      </c>
      <c r="CY80" s="57">
        <f ca="1">AVERAGE(OFFSET($CX$3,0,0,'Données projet'!$E$13+1,1))-AVERAGE(OFFSET($H$3,0,0,'Données projet'!$E$13+1,1))</f>
        <v>364.3481978218424</v>
      </c>
      <c r="CZ80" s="57">
        <f t="shared" si="96"/>
        <v>231.36959598460686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54.313977976303548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54.313977976303548</v>
      </c>
      <c r="DJ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255.00000000000006</v>
      </c>
      <c r="DP80" s="17">
        <f>DO80*VLOOKUP('Données projet'!$B$14,Paramètres!$A$1:$I$89,3,0)*VLOOKUP('Données projet'!$B$14,Paramètres!$A$1:$I$89,5,0)</f>
        <v>186.96600000000004</v>
      </c>
      <c r="DQ80" s="13">
        <f t="shared" si="97"/>
        <v>46.868551400324648</v>
      </c>
      <c r="DR80" s="20">
        <f t="shared" si="70"/>
        <v>407.26184368889881</v>
      </c>
      <c r="DS80" s="57">
        <f t="shared" si="71"/>
        <v>700.59517702223206</v>
      </c>
      <c r="DT80" s="57">
        <f ca="1">AVERAGE(OFFSET($DS$3,0,0,'Données projet'!$E$14+1,1))-AVERAGE(OFFSET($H$3,0,0,'Données projet'!$E$14+1,1))</f>
        <v>239.25212250019609</v>
      </c>
      <c r="DU80" s="57">
        <f t="shared" si="98"/>
        <v>213.58492101729695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8.8000000000000007</v>
      </c>
      <c r="EJ80" s="12">
        <f>IF('Données projet'!$A$192&gt;35,EJ79+EI80-ER79,IF(A80&lt;'Données projet'!$A$192,$EG$205^A80,IF(A80='Données projet'!$A$192,'Données projet'!$B$192,EJ79+EI80-ER79)))</f>
        <v>324.59999999999985</v>
      </c>
      <c r="EK80" s="17">
        <f>EJ80*VLOOKUP('Données projet'!$B$15,Paramètres!$A$1:$I$89,3,0)*VLOOKUP('Données projet'!$B$15,Paramètres!$A$1:$I$89,5,0)</f>
        <v>278.50679999999994</v>
      </c>
      <c r="EL80" s="13">
        <f t="shared" si="99"/>
        <v>66.651354661909949</v>
      </c>
      <c r="EM80" s="20">
        <f t="shared" si="73"/>
        <v>601.15045270282633</v>
      </c>
      <c r="EN80" s="57">
        <f t="shared" si="74"/>
        <v>894.4837860361597</v>
      </c>
      <c r="EO80" s="57">
        <f ca="1">AVERAGE(OFFSET($EN$3,0,0,'Données projet'!$E$15+1,1))-AVERAGE(OFFSET($H$3,0,0,'Données projet'!$E$15+1,1))</f>
        <v>447.10969593632467</v>
      </c>
      <c r="EP80" s="57">
        <f t="shared" si="100"/>
        <v>256.77417912163997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84.643274953715576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84.643274953715576</v>
      </c>
      <c r="EZ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7" t="e">
        <f t="shared" si="77"/>
        <v>#N/A</v>
      </c>
      <c r="FJ80" s="57" t="e">
        <f ca="1">AVERAGE(OFFSET($FI$3,0,0,'Données projet'!$E$16+1,1))-AVERAGE(OFFSET($H$3,0,0,'Données projet'!$E$16+1,1))</f>
        <v>#N/A</v>
      </c>
      <c r="FK80" s="57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7" t="e">
        <f t="shared" si="80"/>
        <v>#N/A</v>
      </c>
      <c r="GE80" s="57" t="e">
        <f ca="1">AVERAGE(OFFSET($GD$3,0,0,'Données projet'!$E$17+1,1))-AVERAGE(OFFSET($H$3,0,0,'Données projet'!$E$17+1,1))</f>
        <v>#N/A</v>
      </c>
      <c r="GF80" s="57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7" t="e">
        <f t="shared" si="83"/>
        <v>#N/A</v>
      </c>
      <c r="GZ80" s="57" t="e">
        <f ca="1">AVERAGE(OFFSET($GY$3,0,0,'Données projet'!$E$18+1,1))-AVERAGE(OFFSET($H$3,0,0,'Données projet'!$E$18+1,1))</f>
        <v>#N/A</v>
      </c>
      <c r="HA80" s="57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0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4">
        <f t="shared" si="56"/>
        <v>256.66666666666669</v>
      </c>
      <c r="I81" s="6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636.99999999999977</v>
      </c>
      <c r="O81" s="13">
        <f>N81*VLOOKUP('Données projet'!$B$9,Paramètres!$A$1:$I$89,3,0)*VLOOKUP('Données projet'!$B$9,Paramètres!$A$1:$I$89,5,0)</f>
        <v>356.08299999999991</v>
      </c>
      <c r="P81" s="13">
        <f t="shared" si="87"/>
        <v>82.813805255716545</v>
      </c>
      <c r="Q81" s="20">
        <f t="shared" si="54"/>
        <v>764.41193582037283</v>
      </c>
      <c r="R81" s="57">
        <f t="shared" si="55"/>
        <v>1057.7452691537062</v>
      </c>
      <c r="S81" s="57">
        <f ca="1">AVERAGE(OFFSET($R$3,0,0,'Données projet'!$E$9+1,1))-AVERAGE(OFFSET($H$3,0,0,'Données projet'!$E$9+1,1))</f>
        <v>443.34220761968419</v>
      </c>
      <c r="T81" s="57">
        <f t="shared" si="88"/>
        <v>546.58234447298014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68.425066880897973</v>
      </c>
      <c r="AA81" s="21">
        <f>EXP(-LN(2)/25)*AA80+(1-EXP(-LN(2)/25))/(LN(2)/25)*Calculateur!V81*Calculateur!X81*VLOOKUP('Données projet'!$B$9,Paramètres!$A$1:$I$89,3,0)*0.475*44/12</f>
        <v>5.7970315476424137</v>
      </c>
      <c r="AB81" s="21">
        <f>EXP(-LN(2)/2)*AB80+(1-EXP(-LN(2)/2))/(LN(2)/2)*V81*Y81*VLOOKUP('Données projet'!$B$9,Paramètres!$A$1:$I$89,3,0)*0.475*44/12</f>
        <v>3.6011915449764009E-7</v>
      </c>
      <c r="AC81" s="22">
        <f t="shared" si="57"/>
        <v>74.222098788659551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17.8</v>
      </c>
      <c r="AI81" s="13">
        <f>IF('Données projet'!$A$62&gt;35,AI80+AH81-AQ80,IF(A81&lt;'Données projet'!$A$62,$AF$205^A81,IF(A81='Données projet'!$A$62,'Données projet'!$B$62,AI80+AH81-AQ80)))</f>
        <v>928.39999999999907</v>
      </c>
      <c r="AJ81" s="13">
        <f>AI81*VLOOKUP('Données projet'!$B$10,Paramètres!$A$1:$I$89,3,0)*VLOOKUP('Données projet'!$B$10,Paramètres!$A$1:$I$89,5,0)</f>
        <v>434.49119999999954</v>
      </c>
      <c r="AK81" s="13">
        <f t="shared" si="89"/>
        <v>98.73521201932671</v>
      </c>
      <c r="AL81" s="20">
        <f t="shared" si="58"/>
        <v>928.70266760032655</v>
      </c>
      <c r="AM81" s="57">
        <f t="shared" si="59"/>
        <v>1222.0360009336598</v>
      </c>
      <c r="AN81" s="57">
        <f ca="1">AVERAGE(OFFSET($AM$3,0,0,'Données projet'!$E$10+1,1))-AVERAGE(OFFSET($H$3,0,0,'Données projet'!$E$10+1,1))</f>
        <v>524.3999528951972</v>
      </c>
      <c r="AO81" s="57">
        <f t="shared" si="90"/>
        <v>459.3547783500515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136.15737083260817</v>
      </c>
      <c r="AV81" s="21">
        <f>EXP(-LN(2)/25)*AV80+(1-EXP(-LN(2)/25))/(LN(2)/25)*Calculateur!AQ81*Calculateur!AS81*VLOOKUP('Données projet'!$B$10,Paramètres!$A$1:$I$89,3,0)*0.475*44/12</f>
        <v>14.121950583854025</v>
      </c>
      <c r="AW81" s="21">
        <f>EXP(-LN(2)/2)*AW80+(1-EXP(-LN(2)/2))/(LN(2)/2)*AQ81*AT81*VLOOKUP('Données projet'!$B$10,Paramètres!$A$1:$I$89,3,0)*0.475*44/12</f>
        <v>7.1063078003845712E-8</v>
      </c>
      <c r="AX81" s="21">
        <f t="shared" si="60"/>
        <v>150.27932148752527</v>
      </c>
      <c r="AY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18.600000000000001</v>
      </c>
      <c r="BD81" s="12">
        <f>IF('Données projet'!$A$88&gt;35,BD80+BC81-BL80,IF(A81&lt;'Données projet'!$A$88,$BA$205^A81,IF(A81='Données projet'!$A$88,'Données projet'!$B$88,BD80+BC81-BL80)))</f>
        <v>871.80000000000007</v>
      </c>
      <c r="BE81" s="13">
        <f>BD81*VLOOKUP('Données projet'!$B$11,Paramètres!$A$1:$I$89,3,0)*VLOOKUP('Données projet'!$B$11,Paramètres!$A$1:$I$89,5,0)</f>
        <v>419.33580000000006</v>
      </c>
      <c r="BF81" s="13">
        <f t="shared" si="91"/>
        <v>95.685866925899333</v>
      </c>
      <c r="BG81" s="20">
        <f t="shared" si="61"/>
        <v>896.99606989594133</v>
      </c>
      <c r="BH81" s="57">
        <f t="shared" si="62"/>
        <v>1190.3294032292747</v>
      </c>
      <c r="BI81" s="57">
        <f ca="1">AVERAGE(OFFSET($BH$3,0,0,'Données projet'!$E$11+1,1))-AVERAGE(OFFSET($H$3,0,0,'Données projet'!$E$11+1,1))</f>
        <v>495.6473104257044</v>
      </c>
      <c r="BJ81" s="57">
        <f t="shared" si="92"/>
        <v>430.92527296485201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140.27519661617393</v>
      </c>
      <c r="BQ81" s="21">
        <f>EXP(-LN(2)/25)*BQ80+(1-EXP(-LN(2)/25))/(LN(2)/25)*Calculateur!BL81*Calculateur!BN81*VLOOKUP('Données projet'!$B$11,Paramètres!$A$1:$I$89,3,0)*0.475*44/12</f>
        <v>13.304708073214318</v>
      </c>
      <c r="BR81" s="21">
        <f>EXP(-LN(2)/2)*BR80+(1-EXP(-LN(2)/2))/(LN(2)/2)*BL81*BO81*VLOOKUP('Données projet'!$B$11,Paramètres!$A$1:$I$89,3,0)*0.475*44/12</f>
        <v>4.3619350734613637E-8</v>
      </c>
      <c r="BS81" s="22">
        <f t="shared" si="63"/>
        <v>153.5799047330076</v>
      </c>
      <c r="BT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7" t="e">
        <f t="shared" si="65"/>
        <v>#NUM!</v>
      </c>
      <c r="CD81" s="57">
        <f ca="1">AVERAGE(OFFSET($CC$3,0,0,'Données projet'!$E$12+1,1))-AVERAGE(OFFSET($H$3,0,0,'Données projet'!$E$12+1,1))</f>
        <v>187.80389738728508</v>
      </c>
      <c r="CE81" s="57">
        <f t="shared" si="94"/>
        <v>439.28159165815265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47.737591315247151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7.3559235924269762E-8</v>
      </c>
      <c r="CN81" s="22">
        <f t="shared" si="66"/>
        <v>47.737591388806386</v>
      </c>
      <c r="CO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</v>
      </c>
      <c r="CT81" s="12">
        <f>IF('Données projet'!$A$140&gt;35,CT80+CS81-DB80,IF(A81&lt;'Données projet'!$A$140,$CQ$205^A81,IF(A81='Données projet'!$A$140,'Données projet'!$B$140,CT80+CS81-DB80)))</f>
        <v>248.99999999999989</v>
      </c>
      <c r="CU81" s="17">
        <f>CT81*VLOOKUP('Données projet'!$B$13,Paramètres!$A$1:$I$89,3,0)*VLOOKUP('Données projet'!$B$13,Paramètres!$A$1:$I$89,5,0)</f>
        <v>225.29519999999991</v>
      </c>
      <c r="CV81" s="13">
        <f t="shared" si="95"/>
        <v>55.264173352293078</v>
      </c>
      <c r="CW81" s="20">
        <f t="shared" si="67"/>
        <v>488.64090858857691</v>
      </c>
      <c r="CX81" s="57">
        <f t="shared" si="68"/>
        <v>781.97424192191022</v>
      </c>
      <c r="CY81" s="57">
        <f ca="1">AVERAGE(OFFSET($CX$3,0,0,'Données projet'!$E$13+1,1))-AVERAGE(OFFSET($H$3,0,0,'Données projet'!$E$13+1,1))</f>
        <v>364.3481978218424</v>
      </c>
      <c r="CZ81" s="57">
        <f t="shared" si="96"/>
        <v>231.36959598460686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53.248913996443655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53.248913996443655</v>
      </c>
      <c r="DJ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255.00000000000006</v>
      </c>
      <c r="DP81" s="17">
        <f>DO81*VLOOKUP('Données projet'!$B$14,Paramètres!$A$1:$I$89,3,0)*VLOOKUP('Données projet'!$B$14,Paramètres!$A$1:$I$89,5,0)</f>
        <v>186.96600000000004</v>
      </c>
      <c r="DQ81" s="13">
        <f t="shared" si="97"/>
        <v>46.868551400324648</v>
      </c>
      <c r="DR81" s="20">
        <f t="shared" si="70"/>
        <v>407.26184368889881</v>
      </c>
      <c r="DS81" s="57">
        <f t="shared" si="71"/>
        <v>700.59517702223206</v>
      </c>
      <c r="DT81" s="57">
        <f ca="1">AVERAGE(OFFSET($DS$3,0,0,'Données projet'!$E$14+1,1))-AVERAGE(OFFSET($H$3,0,0,'Données projet'!$E$14+1,1))</f>
        <v>239.25212250019609</v>
      </c>
      <c r="DU81" s="57">
        <f t="shared" si="98"/>
        <v>213.58492101729695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8.8000000000000007</v>
      </c>
      <c r="EJ81" s="12">
        <f>IF('Données projet'!$A$192&gt;35,EJ80+EI81-ER80,IF(A81&lt;'Données projet'!$A$192,$EG$205^A81,IF(A81='Données projet'!$A$192,'Données projet'!$B$192,EJ80+EI81-ER80)))</f>
        <v>333.39999999999986</v>
      </c>
      <c r="EK81" s="17">
        <f>EJ81*VLOOKUP('Données projet'!$B$15,Paramètres!$A$1:$I$89,3,0)*VLOOKUP('Données projet'!$B$15,Paramètres!$A$1:$I$89,5,0)</f>
        <v>286.05719999999991</v>
      </c>
      <c r="EL81" s="13">
        <f t="shared" si="99"/>
        <v>68.24547055517067</v>
      </c>
      <c r="EM81" s="20">
        <f t="shared" si="73"/>
        <v>617.07715121692206</v>
      </c>
      <c r="EN81" s="57">
        <f t="shared" si="74"/>
        <v>910.41048455025543</v>
      </c>
      <c r="EO81" s="57">
        <f ca="1">AVERAGE(OFFSET($EN$3,0,0,'Données projet'!$E$15+1,1))-AVERAGE(OFFSET($H$3,0,0,'Données projet'!$E$15+1,1))</f>
        <v>447.10969593632467</v>
      </c>
      <c r="EP81" s="57">
        <f t="shared" si="100"/>
        <v>256.77417912163997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82.983471959173158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82.983471959173158</v>
      </c>
      <c r="EZ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7" t="e">
        <f t="shared" si="77"/>
        <v>#N/A</v>
      </c>
      <c r="FJ81" s="57" t="e">
        <f ca="1">AVERAGE(OFFSET($FI$3,0,0,'Données projet'!$E$16+1,1))-AVERAGE(OFFSET($H$3,0,0,'Données projet'!$E$16+1,1))</f>
        <v>#N/A</v>
      </c>
      <c r="FK81" s="57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7" t="e">
        <f t="shared" si="80"/>
        <v>#N/A</v>
      </c>
      <c r="GE81" s="57" t="e">
        <f ca="1">AVERAGE(OFFSET($GD$3,0,0,'Données projet'!$E$17+1,1))-AVERAGE(OFFSET($H$3,0,0,'Données projet'!$E$17+1,1))</f>
        <v>#N/A</v>
      </c>
      <c r="GF81" s="57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7" t="e">
        <f t="shared" si="83"/>
        <v>#N/A</v>
      </c>
      <c r="GZ81" s="57" t="e">
        <f ca="1">AVERAGE(OFFSET($GY$3,0,0,'Données projet'!$E$18+1,1))-AVERAGE(OFFSET($H$3,0,0,'Données projet'!$E$18+1,1))</f>
        <v>#N/A</v>
      </c>
      <c r="HA81" s="57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0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4">
        <f t="shared" si="56"/>
        <v>256.66666666666669</v>
      </c>
      <c r="I82" s="6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636.99999999999977</v>
      </c>
      <c r="O82" s="13">
        <f>N82*VLOOKUP('Données projet'!$B$9,Paramètres!$A$1:$I$89,3,0)*VLOOKUP('Données projet'!$B$9,Paramètres!$A$1:$I$89,5,0)</f>
        <v>356.08299999999991</v>
      </c>
      <c r="P82" s="13">
        <f t="shared" si="87"/>
        <v>82.813805255716545</v>
      </c>
      <c r="Q82" s="20">
        <f t="shared" si="54"/>
        <v>764.41193582037283</v>
      </c>
      <c r="R82" s="57">
        <f t="shared" si="55"/>
        <v>1057.7452691537062</v>
      </c>
      <c r="S82" s="57">
        <f ca="1">AVERAGE(OFFSET($R$3,0,0,'Données projet'!$E$9+1,1))-AVERAGE(OFFSET($H$3,0,0,'Données projet'!$E$9+1,1))</f>
        <v>443.34220761968419</v>
      </c>
      <c r="T82" s="57">
        <f t="shared" si="88"/>
        <v>546.58234447298014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67.083293054533357</v>
      </c>
      <c r="AA82" s="21">
        <f>EXP(-LN(2)/25)*AA81+(1-EXP(-LN(2)/25))/(LN(2)/25)*Calculateur!V82*Calculateur!X82*VLOOKUP('Données projet'!$B$9,Paramètres!$A$1:$I$89,3,0)*0.475*44/12</f>
        <v>5.6385114151194919</v>
      </c>
      <c r="AB82" s="21">
        <f>EXP(-LN(2)/2)*AB81+(1-EXP(-LN(2)/2))/(LN(2)/2)*V82*Y82*VLOOKUP('Données projet'!$B$9,Paramètres!$A$1:$I$89,3,0)*0.475*44/12</f>
        <v>2.5464269618044729E-7</v>
      </c>
      <c r="AC82" s="22">
        <f t="shared" si="57"/>
        <v>72.721804724295552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17.8</v>
      </c>
      <c r="AI82" s="13">
        <f>IF('Données projet'!$A$62&gt;35,AI81+AH82-AQ81,IF(A82&lt;'Données projet'!$A$62,$AF$205^A82,IF(A82='Données projet'!$A$62,'Données projet'!$B$62,AI81+AH82-AQ81)))</f>
        <v>946.19999999999902</v>
      </c>
      <c r="AJ82" s="13">
        <f>AI82*VLOOKUP('Données projet'!$B$10,Paramètres!$A$1:$I$89,3,0)*VLOOKUP('Données projet'!$B$10,Paramètres!$A$1:$I$89,5,0)</f>
        <v>442.82159999999948</v>
      </c>
      <c r="AK82" s="13">
        <f t="shared" si="89"/>
        <v>100.40603787485102</v>
      </c>
      <c r="AL82" s="20">
        <f t="shared" si="58"/>
        <v>946.12146929869789</v>
      </c>
      <c r="AM82" s="57">
        <f t="shared" si="59"/>
        <v>1239.4548026320313</v>
      </c>
      <c r="AN82" s="57">
        <f ca="1">AVERAGE(OFFSET($AM$3,0,0,'Données projet'!$E$10+1,1))-AVERAGE(OFFSET($H$3,0,0,'Données projet'!$E$10+1,1))</f>
        <v>524.3999528951972</v>
      </c>
      <c r="AO82" s="57">
        <f t="shared" si="90"/>
        <v>459.3547783500515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133.48740783837664</v>
      </c>
      <c r="AV82" s="21">
        <f>EXP(-LN(2)/25)*AV81+(1-EXP(-LN(2)/25))/(LN(2)/25)*Calculateur!AQ82*Calculateur!AS82*VLOOKUP('Données projet'!$B$10,Paramètres!$A$1:$I$89,3,0)*0.475*44/12</f>
        <v>13.735785102497431</v>
      </c>
      <c r="AW82" s="21">
        <f>EXP(-LN(2)/2)*AW81+(1-EXP(-LN(2)/2))/(LN(2)/2)*AQ82*AT82*VLOOKUP('Données projet'!$B$10,Paramètres!$A$1:$I$89,3,0)*0.475*44/12</f>
        <v>5.0249184348507889E-8</v>
      </c>
      <c r="AX82" s="21">
        <f t="shared" si="60"/>
        <v>147.22319299112326</v>
      </c>
      <c r="AY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18.600000000000001</v>
      </c>
      <c r="BD82" s="12">
        <f>IF('Données projet'!$A$88&gt;35,BD81+BC82-BL81,IF(A82&lt;'Données projet'!$A$88,$BA$205^A82,IF(A82='Données projet'!$A$88,'Données projet'!$B$88,BD81+BC82-BL81)))</f>
        <v>890.40000000000009</v>
      </c>
      <c r="BE82" s="13">
        <f>BD82*VLOOKUP('Données projet'!$B$11,Paramètres!$A$1:$I$89,3,0)*VLOOKUP('Données projet'!$B$11,Paramètres!$A$1:$I$89,5,0)</f>
        <v>428.28240000000005</v>
      </c>
      <c r="BF82" s="13">
        <f t="shared" si="91"/>
        <v>97.487491181871334</v>
      </c>
      <c r="BG82" s="20">
        <f t="shared" si="61"/>
        <v>915.7158938084259</v>
      </c>
      <c r="BH82" s="57">
        <f t="shared" si="62"/>
        <v>1209.0492271417593</v>
      </c>
      <c r="BI82" s="57">
        <f ca="1">AVERAGE(OFFSET($BH$3,0,0,'Données projet'!$E$11+1,1))-AVERAGE(OFFSET($H$3,0,0,'Données projet'!$E$11+1,1))</f>
        <v>495.6473104257044</v>
      </c>
      <c r="BJ82" s="57">
        <f t="shared" si="92"/>
        <v>430.92527296485201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137.52448556995239</v>
      </c>
      <c r="BQ82" s="21">
        <f>EXP(-LN(2)/25)*BQ81+(1-EXP(-LN(2)/25))/(LN(2)/25)*Calculateur!BL82*Calculateur!BN82*VLOOKUP('Données projet'!$B$11,Paramètres!$A$1:$I$89,3,0)*0.475*44/12</f>
        <v>12.940890131288084</v>
      </c>
      <c r="BR82" s="21">
        <f>EXP(-LN(2)/2)*BR81+(1-EXP(-LN(2)/2))/(LN(2)/2)*BL82*BO82*VLOOKUP('Données projet'!$B$11,Paramètres!$A$1:$I$89,3,0)*0.475*44/12</f>
        <v>3.0843538695399716E-8</v>
      </c>
      <c r="BS82" s="22">
        <f t="shared" si="63"/>
        <v>150.46537573208403</v>
      </c>
      <c r="BT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7" t="e">
        <f t="shared" si="65"/>
        <v>#NUM!</v>
      </c>
      <c r="CD82" s="57">
        <f ca="1">AVERAGE(OFFSET($CC$3,0,0,'Données projet'!$E$12+1,1))-AVERAGE(OFFSET($H$3,0,0,'Données projet'!$E$12+1,1))</f>
        <v>187.80389738728508</v>
      </c>
      <c r="CE82" s="57">
        <f t="shared" si="94"/>
        <v>439.28159165815265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46.801486266610787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5.2014234540952245E-8</v>
      </c>
      <c r="CN82" s="22">
        <f t="shared" si="66"/>
        <v>46.801486318625024</v>
      </c>
      <c r="CO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</v>
      </c>
      <c r="CT82" s="12">
        <f>IF('Données projet'!$A$140&gt;35,CT81+CS82-DB81,IF(A82&lt;'Données projet'!$A$140,$CQ$205^A82,IF(A82='Données projet'!$A$140,'Données projet'!$B$140,CT81+CS82-DB81)))</f>
        <v>254.99999999999989</v>
      </c>
      <c r="CU82" s="17">
        <f>CT82*VLOOKUP('Données projet'!$B$13,Paramètres!$A$1:$I$89,3,0)*VLOOKUP('Données projet'!$B$13,Paramètres!$A$1:$I$89,5,0)</f>
        <v>230.72399999999988</v>
      </c>
      <c r="CV82" s="13">
        <f t="shared" si="95"/>
        <v>56.439198612082045</v>
      </c>
      <c r="CW82" s="20">
        <f t="shared" si="67"/>
        <v>500.14257091604264</v>
      </c>
      <c r="CX82" s="57">
        <f t="shared" si="68"/>
        <v>793.47590424937596</v>
      </c>
      <c r="CY82" s="57">
        <f ca="1">AVERAGE(OFFSET($CX$3,0,0,'Données projet'!$E$13+1,1))-AVERAGE(OFFSET($H$3,0,0,'Données projet'!$E$13+1,1))</f>
        <v>364.3481978218424</v>
      </c>
      <c r="CZ82" s="57">
        <f t="shared" si="96"/>
        <v>231.36959598460686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52.204735271603937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52.204735271603937</v>
      </c>
      <c r="DJ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255.00000000000006</v>
      </c>
      <c r="DP82" s="17">
        <f>DO82*VLOOKUP('Données projet'!$B$14,Paramètres!$A$1:$I$89,3,0)*VLOOKUP('Données projet'!$B$14,Paramètres!$A$1:$I$89,5,0)</f>
        <v>186.96600000000004</v>
      </c>
      <c r="DQ82" s="13">
        <f t="shared" si="97"/>
        <v>46.868551400324648</v>
      </c>
      <c r="DR82" s="20">
        <f t="shared" si="70"/>
        <v>407.26184368889881</v>
      </c>
      <c r="DS82" s="57">
        <f t="shared" si="71"/>
        <v>700.59517702223206</v>
      </c>
      <c r="DT82" s="57">
        <f ca="1">AVERAGE(OFFSET($DS$3,0,0,'Données projet'!$E$14+1,1))-AVERAGE(OFFSET($H$3,0,0,'Données projet'!$E$14+1,1))</f>
        <v>239.25212250019609</v>
      </c>
      <c r="DU82" s="57">
        <f t="shared" si="98"/>
        <v>213.58492101729695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8.8000000000000007</v>
      </c>
      <c r="EJ82" s="12">
        <f>IF('Données projet'!$A$192&gt;35,EJ81+EI82-ER81,IF(A82&lt;'Données projet'!$A$192,$EG$205^A82,IF(A82='Données projet'!$A$192,'Données projet'!$B$192,EJ81+EI82-ER81)))</f>
        <v>342.19999999999987</v>
      </c>
      <c r="EK82" s="17">
        <f>EJ82*VLOOKUP('Données projet'!$B$15,Paramètres!$A$1:$I$89,3,0)*VLOOKUP('Données projet'!$B$15,Paramètres!$A$1:$I$89,5,0)</f>
        <v>293.60759999999993</v>
      </c>
      <c r="EL82" s="13">
        <f t="shared" si="99"/>
        <v>69.834695689453682</v>
      </c>
      <c r="EM82" s="20">
        <f t="shared" si="73"/>
        <v>632.99533165913169</v>
      </c>
      <c r="EN82" s="57">
        <f t="shared" si="74"/>
        <v>926.32866499246506</v>
      </c>
      <c r="EO82" s="57">
        <f ca="1">AVERAGE(OFFSET($EN$3,0,0,'Données projet'!$E$15+1,1))-AVERAGE(OFFSET($H$3,0,0,'Données projet'!$E$15+1,1))</f>
        <v>447.10969593632467</v>
      </c>
      <c r="EP82" s="57">
        <f t="shared" si="100"/>
        <v>256.77417912163997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81.356216688973859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81.356216688973859</v>
      </c>
      <c r="EZ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7" t="e">
        <f t="shared" si="77"/>
        <v>#N/A</v>
      </c>
      <c r="FJ82" s="57" t="e">
        <f ca="1">AVERAGE(OFFSET($FI$3,0,0,'Données projet'!$E$16+1,1))-AVERAGE(OFFSET($H$3,0,0,'Données projet'!$E$16+1,1))</f>
        <v>#N/A</v>
      </c>
      <c r="FK82" s="57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7" t="e">
        <f t="shared" si="80"/>
        <v>#N/A</v>
      </c>
      <c r="GE82" s="57" t="e">
        <f ca="1">AVERAGE(OFFSET($GD$3,0,0,'Données projet'!$E$17+1,1))-AVERAGE(OFFSET($H$3,0,0,'Données projet'!$E$17+1,1))</f>
        <v>#N/A</v>
      </c>
      <c r="GF82" s="57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7" t="e">
        <f t="shared" si="83"/>
        <v>#N/A</v>
      </c>
      <c r="GZ82" s="57" t="e">
        <f ca="1">AVERAGE(OFFSET($GY$3,0,0,'Données projet'!$E$18+1,1))-AVERAGE(OFFSET($H$3,0,0,'Données projet'!$E$18+1,1))</f>
        <v>#N/A</v>
      </c>
      <c r="HA82" s="57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0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4">
        <f t="shared" si="56"/>
        <v>256.66666666666669</v>
      </c>
      <c r="I83" s="6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636.99999999999977</v>
      </c>
      <c r="O83" s="13">
        <f>N83*VLOOKUP('Données projet'!$B$9,Paramètres!$A$1:$I$89,3,0)*VLOOKUP('Données projet'!$B$9,Paramètres!$A$1:$I$89,5,0)</f>
        <v>356.08299999999991</v>
      </c>
      <c r="P83" s="13">
        <f t="shared" si="87"/>
        <v>82.813805255716545</v>
      </c>
      <c r="Q83" s="20">
        <f t="shared" si="54"/>
        <v>764.41193582037283</v>
      </c>
      <c r="R83" s="57">
        <f t="shared" si="55"/>
        <v>1057.7452691537062</v>
      </c>
      <c r="S83" s="57">
        <f ca="1">AVERAGE(OFFSET($R$3,0,0,'Données projet'!$E$9+1,1))-AVERAGE(OFFSET($H$3,0,0,'Données projet'!$E$9+1,1))</f>
        <v>443.34220761968419</v>
      </c>
      <c r="T83" s="57">
        <f t="shared" si="88"/>
        <v>546.58234447298014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65.767830594502527</v>
      </c>
      <c r="AA83" s="21">
        <f>EXP(-LN(2)/25)*AA82+(1-EXP(-LN(2)/25))/(LN(2)/25)*Calculateur!V83*Calculateur!X83*VLOOKUP('Données projet'!$B$9,Paramètres!$A$1:$I$89,3,0)*0.475*44/12</f>
        <v>5.4843260239566209</v>
      </c>
      <c r="AB83" s="21">
        <f>EXP(-LN(2)/2)*AB82+(1-EXP(-LN(2)/2))/(LN(2)/2)*V83*Y83*VLOOKUP('Données projet'!$B$9,Paramètres!$A$1:$I$89,3,0)*0.475*44/12</f>
        <v>1.8005957724882004E-7</v>
      </c>
      <c r="AC83" s="22">
        <f t="shared" si="57"/>
        <v>71.252156798518726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964</v>
      </c>
      <c r="AG83" s="12">
        <f>VLOOKUP(A83,'Données projet'!$A$61:$I$81,9,0)</f>
        <v>17.8</v>
      </c>
      <c r="AH83" s="12">
        <f t="array" ref="AH83">INDEX(AG:AG,MIN(IF(ISNUMBER(AG83:AG279),ROW(AG83:AG279),"")))</f>
        <v>17.8</v>
      </c>
      <c r="AI83" s="13">
        <f>IF('Données projet'!$A$62&gt;35,AI82+AH83-AQ82,IF(A83&lt;'Données projet'!$A$62,$AF$205^A83,IF(A83='Données projet'!$A$62,'Données projet'!$B$62,AI82+AH83-AQ82)))</f>
        <v>963.99999999999898</v>
      </c>
      <c r="AJ83" s="13">
        <f>AI83*VLOOKUP('Données projet'!$B$10,Paramètres!$A$1:$I$89,3,0)*VLOOKUP('Données projet'!$B$10,Paramètres!$A$1:$I$89,5,0)</f>
        <v>451.15199999999953</v>
      </c>
      <c r="AK83" s="13">
        <f t="shared" si="89"/>
        <v>102.07320885224924</v>
      </c>
      <c r="AL83" s="20">
        <f t="shared" si="58"/>
        <v>963.53390541766657</v>
      </c>
      <c r="AM83" s="57">
        <f t="shared" si="59"/>
        <v>1256.8672387509998</v>
      </c>
      <c r="AN83" s="57">
        <f ca="1">AVERAGE(OFFSET($AM$3,0,0,'Données projet'!$E$10+1,1))-AVERAGE(OFFSET($H$3,0,0,'Données projet'!$E$10+1,1))</f>
        <v>524.3999528951972</v>
      </c>
      <c r="AO83" s="57">
        <f t="shared" si="90"/>
        <v>459.3547783500515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52</v>
      </c>
      <c r="AR83" s="16">
        <f>IF(ISNA(VLOOKUP(A83,'Données projet'!$A$61:$I$81,5,0)),0%,VLOOKUP(A83,'Données projet'!$A$61:$I$81,5,0)*VLOOKUP('Données projet'!$B$10,Paramètres!$A$1:$I$89,7,0))</f>
        <v>0.55000000000000004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148.62560111311254</v>
      </c>
      <c r="AV83" s="21">
        <f>EXP(-LN(2)/25)*AV82+(1-EXP(-LN(2)/25))/(LN(2)/25)*Calculateur!AQ83*Calculateur!AS83*VLOOKUP('Données projet'!$B$10,Paramètres!$A$1:$I$89,3,0)*0.475*44/12</f>
        <v>13.360179336536094</v>
      </c>
      <c r="AW83" s="21">
        <f>EXP(-LN(2)/2)*AW82+(1-EXP(-LN(2)/2))/(LN(2)/2)*AQ83*AT83*VLOOKUP('Données projet'!$B$10,Paramètres!$A$1:$I$89,3,0)*0.475*44/12</f>
        <v>3.5531539001922856E-8</v>
      </c>
      <c r="AX83" s="21">
        <f t="shared" si="60"/>
        <v>161.98578048518019</v>
      </c>
      <c r="AY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909</v>
      </c>
      <c r="BB83" s="12">
        <f>VLOOKUP(A83,'Données projet'!$A$87:$I$107,9,0)</f>
        <v>18.600000000000001</v>
      </c>
      <c r="BC83" s="12">
        <f t="array" ref="BC83">INDEX(BB:BB,MIN(IF(ISNUMBER(BB83:BB279),ROW(BB83:BB279),"")))</f>
        <v>18.600000000000001</v>
      </c>
      <c r="BD83" s="12">
        <f>IF('Données projet'!$A$88&gt;35,BD82+BC83-BL82,IF(A83&lt;'Données projet'!$A$88,$BA$205^A83,IF(A83='Données projet'!$A$88,'Données projet'!$B$88,BD82+BC83-BL82)))</f>
        <v>909.00000000000011</v>
      </c>
      <c r="BE83" s="13">
        <f>BD83*VLOOKUP('Données projet'!$B$11,Paramètres!$A$1:$I$89,3,0)*VLOOKUP('Données projet'!$B$11,Paramètres!$A$1:$I$89,5,0)</f>
        <v>437.22900000000004</v>
      </c>
      <c r="BF83" s="13">
        <f t="shared" si="91"/>
        <v>99.284739708138957</v>
      </c>
      <c r="BG83" s="20">
        <f t="shared" si="61"/>
        <v>934.42809665834204</v>
      </c>
      <c r="BH83" s="57">
        <f t="shared" si="62"/>
        <v>1227.7614299916754</v>
      </c>
      <c r="BI83" s="57">
        <f ca="1">AVERAGE(OFFSET($BH$3,0,0,'Données projet'!$E$11+1,1))-AVERAGE(OFFSET($H$3,0,0,'Données projet'!$E$11+1,1))</f>
        <v>495.6473104257044</v>
      </c>
      <c r="BJ83" s="57">
        <f t="shared" si="92"/>
        <v>430.92527296485201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57</v>
      </c>
      <c r="BM83" s="16">
        <f>IF(ISNA(VLOOKUP(A83,'Données projet'!$A$87:$I$107,5,0)),0%,VLOOKUP(A83,'Données projet'!$A$87:$I$107,5,0)*VLOOKUP('Données projet'!$B$11,Paramètres!$A$1:$I$89,7,0))</f>
        <v>0.55000000000000004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154.83144401071144</v>
      </c>
      <c r="BQ83" s="21">
        <f>EXP(-LN(2)/25)*BQ82+(1-EXP(-LN(2)/25))/(LN(2)/25)*Calculateur!BL83*Calculateur!BN83*VLOOKUP('Données projet'!$B$11,Paramètres!$A$1:$I$89,3,0)*0.475*44/12</f>
        <v>12.587020810116176</v>
      </c>
      <c r="BR83" s="21">
        <f>EXP(-LN(2)/2)*BR82+(1-EXP(-LN(2)/2))/(LN(2)/2)*BL83*BO83*VLOOKUP('Données projet'!$B$11,Paramètres!$A$1:$I$89,3,0)*0.475*44/12</f>
        <v>2.1809675367306818E-8</v>
      </c>
      <c r="BS83" s="22">
        <f t="shared" si="63"/>
        <v>167.41846484263729</v>
      </c>
      <c r="BT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7" t="e">
        <f t="shared" si="65"/>
        <v>#NUM!</v>
      </c>
      <c r="CD83" s="57">
        <f ca="1">AVERAGE(OFFSET($CC$3,0,0,'Données projet'!$E$12+1,1))-AVERAGE(OFFSET($H$3,0,0,'Données projet'!$E$12+1,1))</f>
        <v>187.80389738728508</v>
      </c>
      <c r="CE83" s="57">
        <f t="shared" si="94"/>
        <v>439.28159165815265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45.883737667010479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3.6779617962134881E-8</v>
      </c>
      <c r="CN83" s="22">
        <f t="shared" si="66"/>
        <v>45.883737703790096</v>
      </c>
      <c r="CO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261</v>
      </c>
      <c r="CR83" s="12">
        <f>VLOOKUP(A83,'Données projet'!$A$139:$I$159,9,0)</f>
        <v>6</v>
      </c>
      <c r="CS83" s="12">
        <f t="array" ref="CS83">INDEX(CR:CR,MIN(IF(ISNUMBER(CR83:CR279),ROW(CR83:CR279),"")))</f>
        <v>6</v>
      </c>
      <c r="CT83" s="12">
        <f>IF('Données projet'!$A$140&gt;35,CT82+CS83-DB82,IF(A83&lt;'Données projet'!$A$140,$CQ$205^A83,IF(A83='Données projet'!$A$140,'Données projet'!$B$140,CT82+CS83-DB82)))</f>
        <v>260.99999999999989</v>
      </c>
      <c r="CU83" s="17">
        <f>CT83*VLOOKUP('Données projet'!$B$13,Paramètres!$A$1:$I$89,3,0)*VLOOKUP('Données projet'!$B$13,Paramètres!$A$1:$I$89,5,0)</f>
        <v>236.15279999999987</v>
      </c>
      <c r="CV83" s="13">
        <f t="shared" si="95"/>
        <v>57.61100977459931</v>
      </c>
      <c r="CW83" s="20">
        <f t="shared" si="67"/>
        <v>511.63863535742689</v>
      </c>
      <c r="CX83" s="57">
        <f t="shared" si="68"/>
        <v>804.97196869076015</v>
      </c>
      <c r="CY83" s="57">
        <f ca="1">AVERAGE(OFFSET($CX$3,0,0,'Données projet'!$E$13+1,1))-AVERAGE(OFFSET($H$3,0,0,'Données projet'!$E$13+1,1))</f>
        <v>364.3481978218424</v>
      </c>
      <c r="CZ83" s="57">
        <f t="shared" si="96"/>
        <v>231.36959598460686</v>
      </c>
      <c r="DA83" s="15">
        <f>IF(ISNA(VLOOKUP(A83,'Données projet'!$A$139:$I$159,3,0)),0,VLOOKUP(A83,'Données projet'!$A$139:$I$159,3,0))</f>
        <v>12</v>
      </c>
      <c r="DB83" s="15">
        <f>IF(ISNA(VLOOKUP(A83,'Données projet'!$A$139:$I$159,4,0)),0,VLOOKUP(A83,'Données projet'!$A$139:$I$159,4,0))</f>
        <v>21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60.213105537266948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60.213105537266948</v>
      </c>
      <c r="DJ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255.00000000000006</v>
      </c>
      <c r="DP83" s="17">
        <f>DO83*VLOOKUP('Données projet'!$B$14,Paramètres!$A$1:$I$89,3,0)*VLOOKUP('Données projet'!$B$14,Paramètres!$A$1:$I$89,5,0)</f>
        <v>186.96600000000004</v>
      </c>
      <c r="DQ83" s="13">
        <f t="shared" si="97"/>
        <v>46.868551400324648</v>
      </c>
      <c r="DR83" s="20">
        <f t="shared" si="70"/>
        <v>407.26184368889881</v>
      </c>
      <c r="DS83" s="57">
        <f t="shared" si="71"/>
        <v>700.59517702223206</v>
      </c>
      <c r="DT83" s="57">
        <f ca="1">AVERAGE(OFFSET($DS$3,0,0,'Données projet'!$E$14+1,1))-AVERAGE(OFFSET($H$3,0,0,'Données projet'!$E$14+1,1))</f>
        <v>239.25212250019609</v>
      </c>
      <c r="DU83" s="57">
        <f t="shared" si="98"/>
        <v>213.58492101729695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351</v>
      </c>
      <c r="EH83" s="12">
        <f>VLOOKUP(A83,'Données projet'!$A$191:$I$211,9,0)</f>
        <v>8.8000000000000007</v>
      </c>
      <c r="EI83" s="12">
        <f t="array" ref="EI83">INDEX(EH:EH,MIN(IF(ISNUMBER(EH83:EH279),ROW(EH83:EH279),"")))</f>
        <v>8.8000000000000007</v>
      </c>
      <c r="EJ83" s="12">
        <f>IF('Données projet'!$A$192&gt;35,EJ82+EI83-ER82,IF(A83&lt;'Données projet'!$A$192,$EG$205^A83,IF(A83='Données projet'!$A$192,'Données projet'!$B$192,EJ82+EI83-ER82)))</f>
        <v>350.99999999999989</v>
      </c>
      <c r="EK83" s="17">
        <f>EJ83*VLOOKUP('Données projet'!$B$15,Paramètres!$A$1:$I$89,3,0)*VLOOKUP('Données projet'!$B$15,Paramètres!$A$1:$I$89,5,0)</f>
        <v>301.15799999999996</v>
      </c>
      <c r="EL83" s="13">
        <f t="shared" si="99"/>
        <v>71.419170296330975</v>
      </c>
      <c r="EM83" s="20">
        <f t="shared" si="73"/>
        <v>648.90523826610968</v>
      </c>
      <c r="EN83" s="57">
        <f t="shared" si="74"/>
        <v>942.23857159944305</v>
      </c>
      <c r="EO83" s="57">
        <f ca="1">AVERAGE(OFFSET($EN$3,0,0,'Données projet'!$E$15+1,1))-AVERAGE(OFFSET($H$3,0,0,'Données projet'!$E$15+1,1))</f>
        <v>447.10969593632467</v>
      </c>
      <c r="EP83" s="57">
        <f t="shared" si="100"/>
        <v>256.77417912163997</v>
      </c>
      <c r="EQ83" s="15">
        <f>IF(ISNA(VLOOKUP(A83,'Données projet'!$A$191:$I$211,3,0)),0,VLOOKUP(A83,'Données projet'!$A$191:$I$211,3,0))</f>
        <v>12</v>
      </c>
      <c r="ER83" s="15">
        <f>IF(ISNA(VLOOKUP(A83,'Données projet'!$A$191:$I$211,4,0)),0,VLOOKUP(A83,'Données projet'!$A$191:$I$211,4,0))</f>
        <v>28</v>
      </c>
      <c r="ES83" s="16">
        <f>IF(ISNA(VLOOKUP(A83,'Données projet'!$A$191:$I$211,5,0)),0%,VLOOKUP(A83,'Données projet'!$A$191:$I$211,5,0)*VLOOKUP('Données projet'!$B$15,Paramètres!$A$1:$I$89,7,0))</f>
        <v>0.53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93.836515712982248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93.836515712982248</v>
      </c>
      <c r="EZ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7" t="e">
        <f t="shared" si="77"/>
        <v>#N/A</v>
      </c>
      <c r="FJ83" s="57" t="e">
        <f ca="1">AVERAGE(OFFSET($FI$3,0,0,'Données projet'!$E$16+1,1))-AVERAGE(OFFSET($H$3,0,0,'Données projet'!$E$16+1,1))</f>
        <v>#N/A</v>
      </c>
      <c r="FK83" s="57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7" t="e">
        <f t="shared" si="80"/>
        <v>#N/A</v>
      </c>
      <c r="GE83" s="57" t="e">
        <f ca="1">AVERAGE(OFFSET($GD$3,0,0,'Données projet'!$E$17+1,1))-AVERAGE(OFFSET($H$3,0,0,'Données projet'!$E$17+1,1))</f>
        <v>#N/A</v>
      </c>
      <c r="GF83" s="57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7" t="e">
        <f t="shared" si="83"/>
        <v>#N/A</v>
      </c>
      <c r="GZ83" s="57" t="e">
        <f ca="1">AVERAGE(OFFSET($GY$3,0,0,'Données projet'!$E$18+1,1))-AVERAGE(OFFSET($H$3,0,0,'Données projet'!$E$18+1,1))</f>
        <v>#N/A</v>
      </c>
      <c r="HA83" s="57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0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4">
        <f t="shared" si="56"/>
        <v>256.66666666666669</v>
      </c>
      <c r="I84" s="6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636.99999999999977</v>
      </c>
      <c r="O84" s="13">
        <f>N84*VLOOKUP('Données projet'!$B$9,Paramètres!$A$1:$I$89,3,0)*VLOOKUP('Données projet'!$B$9,Paramètres!$A$1:$I$89,5,0)</f>
        <v>356.08299999999991</v>
      </c>
      <c r="P84" s="13">
        <f t="shared" si="87"/>
        <v>82.813805255716545</v>
      </c>
      <c r="Q84" s="20">
        <f t="shared" si="54"/>
        <v>764.41193582037283</v>
      </c>
      <c r="R84" s="57">
        <f t="shared" si="55"/>
        <v>1057.7452691537062</v>
      </c>
      <c r="S84" s="57">
        <f ca="1">AVERAGE(OFFSET($R$3,0,0,'Données projet'!$E$9+1,1))-AVERAGE(OFFSET($H$3,0,0,'Données projet'!$E$9+1,1))</f>
        <v>443.34220761968419</v>
      </c>
      <c r="T84" s="57">
        <f t="shared" si="88"/>
        <v>546.58234447298014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64.478163550960019</v>
      </c>
      <c r="AA84" s="21">
        <f>EXP(-LN(2)/25)*AA83+(1-EXP(-LN(2)/25))/(LN(2)/25)*Calculateur!V84*Calculateur!X84*VLOOKUP('Données projet'!$B$9,Paramètres!$A$1:$I$89,3,0)*0.475*44/12</f>
        <v>5.3343568404233563</v>
      </c>
      <c r="AB84" s="21">
        <f>EXP(-LN(2)/2)*AB83+(1-EXP(-LN(2)/2))/(LN(2)/2)*V84*Y84*VLOOKUP('Données projet'!$B$9,Paramètres!$A$1:$I$89,3,0)*0.475*44/12</f>
        <v>1.2732134809022364E-7</v>
      </c>
      <c r="AC84" s="22">
        <f t="shared" si="57"/>
        <v>69.812520518704716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911.99999999999898</v>
      </c>
      <c r="AJ84" s="13">
        <f>AI84*VLOOKUP('Données projet'!$B$10,Paramètres!$A$1:$I$89,3,0)*VLOOKUP('Données projet'!$B$10,Paramètres!$A$1:$I$89,5,0)</f>
        <v>426.81599999999946</v>
      </c>
      <c r="AK84" s="13">
        <f t="shared" si="89"/>
        <v>97.192496986872399</v>
      </c>
      <c r="AL84" s="20">
        <f t="shared" si="58"/>
        <v>912.64813225213504</v>
      </c>
      <c r="AM84" s="57">
        <f t="shared" si="59"/>
        <v>1205.9814655854684</v>
      </c>
      <c r="AN84" s="57">
        <f ca="1">AVERAGE(OFFSET($AM$3,0,0,'Données projet'!$E$10+1,1))-AVERAGE(OFFSET($H$3,0,0,'Données projet'!$E$10+1,1))</f>
        <v>524.3999528951972</v>
      </c>
      <c r="AO84" s="57">
        <f t="shared" si="90"/>
        <v>459.3547783500515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145.71114372794986</v>
      </c>
      <c r="AV84" s="21">
        <f>EXP(-LN(2)/25)*AV83+(1-EXP(-LN(2)/25))/(LN(2)/25)*Calculateur!AQ84*Calculateur!AS84*VLOOKUP('Données projet'!$B$10,Paramètres!$A$1:$I$89,3,0)*0.475*44/12</f>
        <v>12.994844529997218</v>
      </c>
      <c r="AW84" s="21">
        <f>EXP(-LN(2)/2)*AW83+(1-EXP(-LN(2)/2))/(LN(2)/2)*AQ84*AT84*VLOOKUP('Données projet'!$B$10,Paramètres!$A$1:$I$89,3,0)*0.475*44/12</f>
        <v>2.5124592174253945E-8</v>
      </c>
      <c r="AX84" s="21">
        <f t="shared" si="60"/>
        <v>158.70598828307166</v>
      </c>
      <c r="AY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852.00000000000011</v>
      </c>
      <c r="BE84" s="13">
        <f>BD84*VLOOKUP('Données projet'!$B$11,Paramètres!$A$1:$I$89,3,0)*VLOOKUP('Données projet'!$B$11,Paramètres!$A$1:$I$89,5,0)</f>
        <v>409.81200000000013</v>
      </c>
      <c r="BF84" s="13">
        <f t="shared" si="91"/>
        <v>93.76308331402879</v>
      </c>
      <c r="BG84" s="20">
        <f t="shared" si="61"/>
        <v>877.05993677193362</v>
      </c>
      <c r="BH84" s="57">
        <f t="shared" si="62"/>
        <v>1170.393270105267</v>
      </c>
      <c r="BI84" s="57">
        <f ca="1">AVERAGE(OFFSET($BH$3,0,0,'Données projet'!$E$11+1,1))-AVERAGE(OFFSET($H$3,0,0,'Données projet'!$E$11+1,1))</f>
        <v>495.6473104257044</v>
      </c>
      <c r="BJ84" s="57">
        <f t="shared" si="92"/>
        <v>430.92527296485201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151.79529383151726</v>
      </c>
      <c r="BQ84" s="21">
        <f>EXP(-LN(2)/25)*BQ83+(1-EXP(-LN(2)/25))/(LN(2)/25)*Calculateur!BL84*Calculateur!BN84*VLOOKUP('Données projet'!$B$11,Paramètres!$A$1:$I$89,3,0)*0.475*44/12</f>
        <v>12.242828064140893</v>
      </c>
      <c r="BR84" s="21">
        <f>EXP(-LN(2)/2)*BR83+(1-EXP(-LN(2)/2))/(LN(2)/2)*BL84*BO84*VLOOKUP('Données projet'!$B$11,Paramètres!$A$1:$I$89,3,0)*0.475*44/12</f>
        <v>1.5421769347699858E-8</v>
      </c>
      <c r="BS84" s="22">
        <f t="shared" si="63"/>
        <v>164.03812191107991</v>
      </c>
      <c r="BT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7" t="e">
        <f t="shared" si="65"/>
        <v>#NUM!</v>
      </c>
      <c r="CD84" s="57">
        <f ca="1">AVERAGE(OFFSET($CC$3,0,0,'Données projet'!$E$12+1,1))-AVERAGE(OFFSET($H$3,0,0,'Données projet'!$E$12+1,1))</f>
        <v>187.80389738728508</v>
      </c>
      <c r="CE84" s="57">
        <f t="shared" si="94"/>
        <v>439.28159165815265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44.983985557676959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2.6007117270476123E-8</v>
      </c>
      <c r="CN84" s="22">
        <f t="shared" si="66"/>
        <v>44.983985583684074</v>
      </c>
      <c r="CO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5.8</v>
      </c>
      <c r="CT84" s="12">
        <f>IF('Données projet'!$A$140&gt;35,CT83+CS84-DB83,IF(A84&lt;'Données projet'!$A$140,$CQ$205^A84,IF(A84='Données projet'!$A$140,'Données projet'!$B$140,CT83+CS84-DB83)))</f>
        <v>245.7999999999999</v>
      </c>
      <c r="CU84" s="17">
        <f>CT84*VLOOKUP('Données projet'!$B$13,Paramètres!$A$1:$I$89,3,0)*VLOOKUP('Données projet'!$B$13,Paramètres!$A$1:$I$89,5,0)</f>
        <v>222.3998399999999</v>
      </c>
      <c r="CV84" s="13">
        <f t="shared" si="95"/>
        <v>54.636149281681448</v>
      </c>
      <c r="CW84" s="20">
        <f t="shared" si="67"/>
        <v>482.50434799892832</v>
      </c>
      <c r="CX84" s="57">
        <f t="shared" si="68"/>
        <v>775.83768133226158</v>
      </c>
      <c r="CY84" s="57">
        <f ca="1">AVERAGE(OFFSET($CX$3,0,0,'Données projet'!$E$13+1,1))-AVERAGE(OFFSET($H$3,0,0,'Données projet'!$E$13+1,1))</f>
        <v>364.3481978218424</v>
      </c>
      <c r="CZ84" s="57">
        <f t="shared" si="96"/>
        <v>231.36959598460686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59.032363264049096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59.032363264049096</v>
      </c>
      <c r="DJ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255.00000000000006</v>
      </c>
      <c r="DP84" s="17">
        <f>DO84*VLOOKUP('Données projet'!$B$14,Paramètres!$A$1:$I$89,3,0)*VLOOKUP('Données projet'!$B$14,Paramètres!$A$1:$I$89,5,0)</f>
        <v>186.96600000000004</v>
      </c>
      <c r="DQ84" s="13">
        <f t="shared" si="97"/>
        <v>46.868551400324648</v>
      </c>
      <c r="DR84" s="20">
        <f t="shared" si="70"/>
        <v>407.26184368889881</v>
      </c>
      <c r="DS84" s="57">
        <f t="shared" si="71"/>
        <v>700.59517702223206</v>
      </c>
      <c r="DT84" s="57">
        <f ca="1">AVERAGE(OFFSET($DS$3,0,0,'Données projet'!$E$14+1,1))-AVERAGE(OFFSET($H$3,0,0,'Données projet'!$E$14+1,1))</f>
        <v>239.25212250019609</v>
      </c>
      <c r="DU84" s="57">
        <f t="shared" si="98"/>
        <v>213.58492101729695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8.4</v>
      </c>
      <c r="EJ84" s="12">
        <f>IF('Données projet'!$A$192&gt;35,EJ83+EI84-ER83,IF(A84&lt;'Données projet'!$A$192,$EG$205^A84,IF(A84='Données projet'!$A$192,'Données projet'!$B$192,EJ83+EI84-ER83)))</f>
        <v>331.39999999999986</v>
      </c>
      <c r="EK84" s="17">
        <f>EJ84*VLOOKUP('Données projet'!$B$15,Paramètres!$A$1:$I$89,3,0)*VLOOKUP('Données projet'!$B$15,Paramètres!$A$1:$I$89,5,0)</f>
        <v>284.34119999999996</v>
      </c>
      <c r="EL84" s="13">
        <f t="shared" si="99"/>
        <v>67.883606139618351</v>
      </c>
      <c r="EM84" s="20">
        <f t="shared" si="73"/>
        <v>613.4582040265019</v>
      </c>
      <c r="EN84" s="57">
        <f t="shared" si="74"/>
        <v>906.79153735983527</v>
      </c>
      <c r="EO84" s="57">
        <f ca="1">AVERAGE(OFFSET($EN$3,0,0,'Données projet'!$E$15+1,1))-AVERAGE(OFFSET($H$3,0,0,'Données projet'!$E$15+1,1))</f>
        <v>447.10969593632467</v>
      </c>
      <c r="EP84" s="57">
        <f t="shared" si="100"/>
        <v>256.77417912163997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91.996438874473796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91.996438874473796</v>
      </c>
      <c r="EZ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7" t="e">
        <f t="shared" si="77"/>
        <v>#N/A</v>
      </c>
      <c r="FJ84" s="57" t="e">
        <f ca="1">AVERAGE(OFFSET($FI$3,0,0,'Données projet'!$E$16+1,1))-AVERAGE(OFFSET($H$3,0,0,'Données projet'!$E$16+1,1))</f>
        <v>#N/A</v>
      </c>
      <c r="FK84" s="57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7" t="e">
        <f t="shared" si="80"/>
        <v>#N/A</v>
      </c>
      <c r="GE84" s="57" t="e">
        <f ca="1">AVERAGE(OFFSET($GD$3,0,0,'Données projet'!$E$17+1,1))-AVERAGE(OFFSET($H$3,0,0,'Données projet'!$E$17+1,1))</f>
        <v>#N/A</v>
      </c>
      <c r="GF84" s="57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7" t="e">
        <f t="shared" si="83"/>
        <v>#N/A</v>
      </c>
      <c r="GZ84" s="57" t="e">
        <f ca="1">AVERAGE(OFFSET($GY$3,0,0,'Données projet'!$E$18+1,1))-AVERAGE(OFFSET($H$3,0,0,'Données projet'!$E$18+1,1))</f>
        <v>#N/A</v>
      </c>
      <c r="HA84" s="57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0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4">
        <f t="shared" si="56"/>
        <v>256.66666666666669</v>
      </c>
      <c r="I85" s="6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636.99999999999977</v>
      </c>
      <c r="O85" s="13">
        <f>N85*VLOOKUP('Données projet'!$B$9,Paramètres!$A$1:$I$89,3,0)*VLOOKUP('Données projet'!$B$9,Paramètres!$A$1:$I$89,5,0)</f>
        <v>356.08299999999991</v>
      </c>
      <c r="P85" s="13">
        <f t="shared" si="87"/>
        <v>82.813805255716545</v>
      </c>
      <c r="Q85" s="20">
        <f t="shared" si="54"/>
        <v>764.41193582037283</v>
      </c>
      <c r="R85" s="57">
        <f t="shared" si="55"/>
        <v>1057.7452691537062</v>
      </c>
      <c r="S85" s="57">
        <f ca="1">AVERAGE(OFFSET($R$3,0,0,'Données projet'!$E$9+1,1))-AVERAGE(OFFSET($H$3,0,0,'Données projet'!$E$9+1,1))</f>
        <v>443.34220761968419</v>
      </c>
      <c r="T85" s="57">
        <f t="shared" si="88"/>
        <v>546.58234447298014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63.213786091522159</v>
      </c>
      <c r="AA85" s="21">
        <f>EXP(-LN(2)/25)*AA84+(1-EXP(-LN(2)/25))/(LN(2)/25)*Calculateur!V85*Calculateur!X85*VLOOKUP('Données projet'!$B$9,Paramètres!$A$1:$I$89,3,0)*0.475*44/12</f>
        <v>5.1884885721003453</v>
      </c>
      <c r="AB85" s="21">
        <f>EXP(-LN(2)/2)*AB84+(1-EXP(-LN(2)/2))/(LN(2)/2)*V85*Y85*VLOOKUP('Données projet'!$B$9,Paramètres!$A$1:$I$89,3,0)*0.475*44/12</f>
        <v>9.0029788624410022E-8</v>
      </c>
      <c r="AC85" s="22">
        <f t="shared" si="57"/>
        <v>68.402274753652293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911.99999999999898</v>
      </c>
      <c r="AJ85" s="13">
        <f>AI85*VLOOKUP('Données projet'!$B$10,Paramètres!$A$1:$I$89,3,0)*VLOOKUP('Données projet'!$B$10,Paramètres!$A$1:$I$89,5,0)</f>
        <v>426.81599999999946</v>
      </c>
      <c r="AK85" s="13">
        <f t="shared" si="89"/>
        <v>97.192496986872399</v>
      </c>
      <c r="AL85" s="20">
        <f t="shared" si="58"/>
        <v>912.64813225213504</v>
      </c>
      <c r="AM85" s="57">
        <f t="shared" si="59"/>
        <v>1205.9814655854684</v>
      </c>
      <c r="AN85" s="57">
        <f ca="1">AVERAGE(OFFSET($AM$3,0,0,'Données projet'!$E$10+1,1))-AVERAGE(OFFSET($H$3,0,0,'Données projet'!$E$10+1,1))</f>
        <v>524.3999528951972</v>
      </c>
      <c r="AO85" s="57">
        <f t="shared" si="90"/>
        <v>459.3547783500515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142.85383707446675</v>
      </c>
      <c r="AV85" s="21">
        <f>EXP(-LN(2)/25)*AV84+(1-EXP(-LN(2)/25))/(LN(2)/25)*Calculateur!AQ85*Calculateur!AS85*VLOOKUP('Données projet'!$B$10,Paramètres!$A$1:$I$89,3,0)*0.475*44/12</f>
        <v>12.639499822955271</v>
      </c>
      <c r="AW85" s="21">
        <f>EXP(-LN(2)/2)*AW84+(1-EXP(-LN(2)/2))/(LN(2)/2)*AQ85*AT85*VLOOKUP('Données projet'!$B$10,Paramètres!$A$1:$I$89,3,0)*0.475*44/12</f>
        <v>1.7765769500961428E-8</v>
      </c>
      <c r="AX85" s="21">
        <f t="shared" si="60"/>
        <v>155.49333691518777</v>
      </c>
      <c r="AY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852.00000000000011</v>
      </c>
      <c r="BE85" s="13">
        <f>BD85*VLOOKUP('Données projet'!$B$11,Paramètres!$A$1:$I$89,3,0)*VLOOKUP('Données projet'!$B$11,Paramètres!$A$1:$I$89,5,0)</f>
        <v>409.81200000000013</v>
      </c>
      <c r="BF85" s="13">
        <f t="shared" si="91"/>
        <v>93.76308331402879</v>
      </c>
      <c r="BG85" s="20">
        <f t="shared" si="61"/>
        <v>877.05993677193362</v>
      </c>
      <c r="BH85" s="57">
        <f t="shared" si="62"/>
        <v>1170.393270105267</v>
      </c>
      <c r="BI85" s="57">
        <f ca="1">AVERAGE(OFFSET($BH$3,0,0,'Données projet'!$E$11+1,1))-AVERAGE(OFFSET($H$3,0,0,'Données projet'!$E$11+1,1))</f>
        <v>495.6473104257044</v>
      </c>
      <c r="BJ85" s="57">
        <f t="shared" si="92"/>
        <v>430.92527296485201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148.81868070546832</v>
      </c>
      <c r="BQ85" s="21">
        <f>EXP(-LN(2)/25)*BQ84+(1-EXP(-LN(2)/25))/(LN(2)/25)*Calculateur!BL85*Calculateur!BN85*VLOOKUP('Données projet'!$B$11,Paramètres!$A$1:$I$89,3,0)*0.475*44/12</f>
        <v>11.908047286904614</v>
      </c>
      <c r="BR85" s="21">
        <f>EXP(-LN(2)/2)*BR84+(1-EXP(-LN(2)/2))/(LN(2)/2)*BL85*BO85*VLOOKUP('Données projet'!$B$11,Paramètres!$A$1:$I$89,3,0)*0.475*44/12</f>
        <v>1.0904837683653409E-8</v>
      </c>
      <c r="BS85" s="22">
        <f t="shared" si="63"/>
        <v>160.72672800327777</v>
      </c>
      <c r="BT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7" t="e">
        <f t="shared" si="65"/>
        <v>#NUM!</v>
      </c>
      <c r="CD85" s="57">
        <f ca="1">AVERAGE(OFFSET($CC$3,0,0,'Données projet'!$E$12+1,1))-AVERAGE(OFFSET($H$3,0,0,'Données projet'!$E$12+1,1))</f>
        <v>187.80389738728508</v>
      </c>
      <c r="CE85" s="57">
        <f t="shared" si="94"/>
        <v>439.28159165815265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44.101877038412873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1.838980898106744E-8</v>
      </c>
      <c r="CN85" s="22">
        <f t="shared" si="66"/>
        <v>44.101877056802685</v>
      </c>
      <c r="CO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5.8</v>
      </c>
      <c r="CT85" s="12">
        <f>IF('Données projet'!$A$140&gt;35,CT84+CS85-DB84,IF(A85&lt;'Données projet'!$A$140,$CQ$205^A85,IF(A85='Données projet'!$A$140,'Données projet'!$B$140,CT84+CS85-DB84)))</f>
        <v>251.59999999999991</v>
      </c>
      <c r="CU85" s="17">
        <f>CT85*VLOOKUP('Données projet'!$B$13,Paramètres!$A$1:$I$89,3,0)*VLOOKUP('Données projet'!$B$13,Paramètres!$A$1:$I$89,5,0)</f>
        <v>227.64767999999992</v>
      </c>
      <c r="CV85" s="13">
        <f t="shared" si="95"/>
        <v>55.773751036838313</v>
      </c>
      <c r="CW85" s="20">
        <f t="shared" si="67"/>
        <v>493.62565905582659</v>
      </c>
      <c r="CX85" s="57">
        <f t="shared" si="68"/>
        <v>786.9589923891599</v>
      </c>
      <c r="CY85" s="57">
        <f ca="1">AVERAGE(OFFSET($CX$3,0,0,'Données projet'!$E$13+1,1))-AVERAGE(OFFSET($H$3,0,0,'Données projet'!$E$13+1,1))</f>
        <v>364.3481978218424</v>
      </c>
      <c r="CZ85" s="57">
        <f t="shared" si="96"/>
        <v>231.36959598460686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57.874774626627371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57.874774626627371</v>
      </c>
      <c r="DJ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255.00000000000006</v>
      </c>
      <c r="DP85" s="17">
        <f>DO85*VLOOKUP('Données projet'!$B$14,Paramètres!$A$1:$I$89,3,0)*VLOOKUP('Données projet'!$B$14,Paramètres!$A$1:$I$89,5,0)</f>
        <v>186.96600000000004</v>
      </c>
      <c r="DQ85" s="13">
        <f t="shared" si="97"/>
        <v>46.868551400324648</v>
      </c>
      <c r="DR85" s="20">
        <f t="shared" si="70"/>
        <v>407.26184368889881</v>
      </c>
      <c r="DS85" s="57">
        <f t="shared" si="71"/>
        <v>700.59517702223206</v>
      </c>
      <c r="DT85" s="57">
        <f ca="1">AVERAGE(OFFSET($DS$3,0,0,'Données projet'!$E$14+1,1))-AVERAGE(OFFSET($H$3,0,0,'Données projet'!$E$14+1,1))</f>
        <v>239.25212250019609</v>
      </c>
      <c r="DU85" s="57">
        <f t="shared" si="98"/>
        <v>213.58492101729695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8.4</v>
      </c>
      <c r="EJ85" s="12">
        <f>IF('Données projet'!$A$192&gt;35,EJ84+EI85-ER84,IF(A85&lt;'Données projet'!$A$192,$EG$205^A85,IF(A85='Données projet'!$A$192,'Données projet'!$B$192,EJ84+EI85-ER84)))</f>
        <v>339.79999999999984</v>
      </c>
      <c r="EK85" s="17">
        <f>EJ85*VLOOKUP('Données projet'!$B$15,Paramètres!$A$1:$I$89,3,0)*VLOOKUP('Données projet'!$B$15,Paramètres!$A$1:$I$89,5,0)</f>
        <v>291.5483999999999</v>
      </c>
      <c r="EL85" s="13">
        <f t="shared" si="99"/>
        <v>69.40174753959208</v>
      </c>
      <c r="EM85" s="20">
        <f t="shared" si="73"/>
        <v>628.65484029812262</v>
      </c>
      <c r="EN85" s="57">
        <f t="shared" si="74"/>
        <v>921.98817363145599</v>
      </c>
      <c r="EO85" s="57">
        <f ca="1">AVERAGE(OFFSET($EN$3,0,0,'Données projet'!$E$15+1,1))-AVERAGE(OFFSET($H$3,0,0,'Données projet'!$E$15+1,1))</f>
        <v>447.10969593632467</v>
      </c>
      <c r="EP85" s="57">
        <f t="shared" si="100"/>
        <v>256.77417912163997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90.192444820432456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90.192444820432456</v>
      </c>
      <c r="EZ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7" t="e">
        <f t="shared" si="77"/>
        <v>#N/A</v>
      </c>
      <c r="FJ85" s="57" t="e">
        <f ca="1">AVERAGE(OFFSET($FI$3,0,0,'Données projet'!$E$16+1,1))-AVERAGE(OFFSET($H$3,0,0,'Données projet'!$E$16+1,1))</f>
        <v>#N/A</v>
      </c>
      <c r="FK85" s="57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7" t="e">
        <f t="shared" si="80"/>
        <v>#N/A</v>
      </c>
      <c r="GE85" s="57" t="e">
        <f ca="1">AVERAGE(OFFSET($GD$3,0,0,'Données projet'!$E$17+1,1))-AVERAGE(OFFSET($H$3,0,0,'Données projet'!$E$17+1,1))</f>
        <v>#N/A</v>
      </c>
      <c r="GF85" s="57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7" t="e">
        <f t="shared" si="83"/>
        <v>#N/A</v>
      </c>
      <c r="GZ85" s="57" t="e">
        <f ca="1">AVERAGE(OFFSET($GY$3,0,0,'Données projet'!$E$18+1,1))-AVERAGE(OFFSET($H$3,0,0,'Données projet'!$E$18+1,1))</f>
        <v>#N/A</v>
      </c>
      <c r="HA85" s="57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0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4">
        <f t="shared" si="56"/>
        <v>256.66666666666669</v>
      </c>
      <c r="I86" s="6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636.99999999999977</v>
      </c>
      <c r="O86" s="13">
        <f>N86*VLOOKUP('Données projet'!$B$9,Paramètres!$A$1:$I$89,3,0)*VLOOKUP('Données projet'!$B$9,Paramètres!$A$1:$I$89,5,0)</f>
        <v>356.08299999999991</v>
      </c>
      <c r="P86" s="13">
        <f t="shared" si="87"/>
        <v>82.813805255716545</v>
      </c>
      <c r="Q86" s="20">
        <f t="shared" si="54"/>
        <v>764.41193582037283</v>
      </c>
      <c r="R86" s="57">
        <f t="shared" si="55"/>
        <v>1057.7452691537062</v>
      </c>
      <c r="S86" s="57">
        <f ca="1">AVERAGE(OFFSET($R$3,0,0,'Données projet'!$E$9+1,1))-AVERAGE(OFFSET($H$3,0,0,'Données projet'!$E$9+1,1))</f>
        <v>443.34220761968419</v>
      </c>
      <c r="T86" s="57">
        <f t="shared" si="88"/>
        <v>546.58234447298014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61.974202302869777</v>
      </c>
      <c r="AA86" s="21">
        <f>EXP(-LN(2)/25)*AA85+(1-EXP(-LN(2)/25))/(LN(2)/25)*Calculateur!V86*Calculateur!X86*VLOOKUP('Données projet'!$B$9,Paramètres!$A$1:$I$89,3,0)*0.475*44/12</f>
        <v>5.0466090792455054</v>
      </c>
      <c r="AB86" s="21">
        <f>EXP(-LN(2)/2)*AB85+(1-EXP(-LN(2)/2))/(LN(2)/2)*V86*Y86*VLOOKUP('Données projet'!$B$9,Paramètres!$A$1:$I$89,3,0)*0.475*44/12</f>
        <v>6.3660674045111822E-8</v>
      </c>
      <c r="AC86" s="22">
        <f t="shared" si="57"/>
        <v>67.020811445775962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911.99999999999898</v>
      </c>
      <c r="AJ86" s="13">
        <f>AI86*VLOOKUP('Données projet'!$B$10,Paramètres!$A$1:$I$89,3,0)*VLOOKUP('Données projet'!$B$10,Paramètres!$A$1:$I$89,5,0)</f>
        <v>426.81599999999946</v>
      </c>
      <c r="AK86" s="13">
        <f t="shared" si="89"/>
        <v>97.192496986872399</v>
      </c>
      <c r="AL86" s="20">
        <f t="shared" si="58"/>
        <v>912.64813225213504</v>
      </c>
      <c r="AM86" s="57">
        <f t="shared" si="59"/>
        <v>1205.9814655854684</v>
      </c>
      <c r="AN86" s="57">
        <f ca="1">AVERAGE(OFFSET($AM$3,0,0,'Données projet'!$E$10+1,1))-AVERAGE(OFFSET($H$3,0,0,'Données projet'!$E$10+1,1))</f>
        <v>524.3999528951972</v>
      </c>
      <c r="AO86" s="57">
        <f t="shared" si="90"/>
        <v>459.3547783500515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140.05256046167349</v>
      </c>
      <c r="AV86" s="21">
        <f>EXP(-LN(2)/25)*AV85+(1-EXP(-LN(2)/25))/(LN(2)/25)*Calculateur!AQ86*Calculateur!AS86*VLOOKUP('Données projet'!$B$10,Paramètres!$A$1:$I$89,3,0)*0.475*44/12</f>
        <v>12.293872035614152</v>
      </c>
      <c r="AW86" s="21">
        <f>EXP(-LN(2)/2)*AW85+(1-EXP(-LN(2)/2))/(LN(2)/2)*AQ86*AT86*VLOOKUP('Données projet'!$B$10,Paramètres!$A$1:$I$89,3,0)*0.475*44/12</f>
        <v>1.2562296087126972E-8</v>
      </c>
      <c r="AX86" s="21">
        <f t="shared" si="60"/>
        <v>152.34643250984993</v>
      </c>
      <c r="AY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852.00000000000011</v>
      </c>
      <c r="BE86" s="13">
        <f>BD86*VLOOKUP('Données projet'!$B$11,Paramètres!$A$1:$I$89,3,0)*VLOOKUP('Données projet'!$B$11,Paramètres!$A$1:$I$89,5,0)</f>
        <v>409.81200000000013</v>
      </c>
      <c r="BF86" s="13">
        <f t="shared" si="91"/>
        <v>93.76308331402879</v>
      </c>
      <c r="BG86" s="20">
        <f t="shared" si="61"/>
        <v>877.05993677193362</v>
      </c>
      <c r="BH86" s="57">
        <f t="shared" si="62"/>
        <v>1170.393270105267</v>
      </c>
      <c r="BI86" s="57">
        <f ca="1">AVERAGE(OFFSET($BH$3,0,0,'Données projet'!$E$11+1,1))-AVERAGE(OFFSET($H$3,0,0,'Données projet'!$E$11+1,1))</f>
        <v>495.6473104257044</v>
      </c>
      <c r="BJ86" s="57">
        <f t="shared" si="92"/>
        <v>430.92527296485201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145.90043714726647</v>
      </c>
      <c r="BQ86" s="21">
        <f>EXP(-LN(2)/25)*BQ85+(1-EXP(-LN(2)/25))/(LN(2)/25)*Calculateur!BL86*Calculateur!BN86*VLOOKUP('Données projet'!$B$11,Paramètres!$A$1:$I$89,3,0)*0.475*44/12</f>
        <v>11.582421107627216</v>
      </c>
      <c r="BR86" s="21">
        <f>EXP(-LN(2)/2)*BR85+(1-EXP(-LN(2)/2))/(LN(2)/2)*BL86*BO86*VLOOKUP('Données projet'!$B$11,Paramètres!$A$1:$I$89,3,0)*0.475*44/12</f>
        <v>7.710884673849929E-9</v>
      </c>
      <c r="BS86" s="22">
        <f t="shared" si="63"/>
        <v>157.48285826260459</v>
      </c>
      <c r="BT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7" t="e">
        <f t="shared" si="65"/>
        <v>#NUM!</v>
      </c>
      <c r="CD86" s="57">
        <f ca="1">AVERAGE(OFFSET($CC$3,0,0,'Données projet'!$E$12+1,1))-AVERAGE(OFFSET($H$3,0,0,'Données projet'!$E$12+1,1))</f>
        <v>187.80389738728508</v>
      </c>
      <c r="CE86" s="57">
        <f t="shared" si="94"/>
        <v>439.28159165815265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43.237066129178487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1.3003558635238061E-8</v>
      </c>
      <c r="CN86" s="22">
        <f t="shared" si="66"/>
        <v>43.237066142182044</v>
      </c>
      <c r="CO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5.8</v>
      </c>
      <c r="CT86" s="12">
        <f>IF('Données projet'!$A$140&gt;35,CT85+CS86-DB85,IF(A86&lt;'Données projet'!$A$140,$CQ$205^A86,IF(A86='Données projet'!$A$140,'Données projet'!$B$140,CT85+CS86-DB85)))</f>
        <v>257.39999999999992</v>
      </c>
      <c r="CU86" s="17">
        <f>CT86*VLOOKUP('Données projet'!$B$13,Paramètres!$A$1:$I$89,3,0)*VLOOKUP('Données projet'!$B$13,Paramètres!$A$1:$I$89,5,0)</f>
        <v>232.89551999999992</v>
      </c>
      <c r="CV86" s="13">
        <f t="shared" si="95"/>
        <v>56.908304063818662</v>
      </c>
      <c r="CW86" s="20">
        <f t="shared" si="67"/>
        <v>504.74166024448397</v>
      </c>
      <c r="CX86" s="57">
        <f t="shared" si="68"/>
        <v>798.07499357781728</v>
      </c>
      <c r="CY86" s="57">
        <f ca="1">AVERAGE(OFFSET($CX$3,0,0,'Données projet'!$E$13+1,1))-AVERAGE(OFFSET($H$3,0,0,'Données projet'!$E$13+1,1))</f>
        <v>364.3481978218424</v>
      </c>
      <c r="CZ86" s="57">
        <f t="shared" si="96"/>
        <v>231.36959598460686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56.739885596326133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56.739885596326133</v>
      </c>
      <c r="DJ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255.00000000000006</v>
      </c>
      <c r="DP86" s="17">
        <f>DO86*VLOOKUP('Données projet'!$B$14,Paramètres!$A$1:$I$89,3,0)*VLOOKUP('Données projet'!$B$14,Paramètres!$A$1:$I$89,5,0)</f>
        <v>186.96600000000004</v>
      </c>
      <c r="DQ86" s="13">
        <f t="shared" si="97"/>
        <v>46.868551400324648</v>
      </c>
      <c r="DR86" s="20">
        <f t="shared" si="70"/>
        <v>407.26184368889881</v>
      </c>
      <c r="DS86" s="57">
        <f t="shared" si="71"/>
        <v>700.59517702223206</v>
      </c>
      <c r="DT86" s="57">
        <f ca="1">AVERAGE(OFFSET($DS$3,0,0,'Données projet'!$E$14+1,1))-AVERAGE(OFFSET($H$3,0,0,'Données projet'!$E$14+1,1))</f>
        <v>239.25212250019609</v>
      </c>
      <c r="DU86" s="57">
        <f t="shared" si="98"/>
        <v>213.58492101729695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8.4</v>
      </c>
      <c r="EJ86" s="12">
        <f>IF('Données projet'!$A$192&gt;35,EJ85+EI86-ER85,IF(A86&lt;'Données projet'!$A$192,$EG$205^A86,IF(A86='Données projet'!$A$192,'Données projet'!$B$192,EJ85+EI86-ER85)))</f>
        <v>348.19999999999982</v>
      </c>
      <c r="EK86" s="17">
        <f>EJ86*VLOOKUP('Données projet'!$B$15,Paramètres!$A$1:$I$89,3,0)*VLOOKUP('Données projet'!$B$15,Paramètres!$A$1:$I$89,5,0)</f>
        <v>298.75559999999984</v>
      </c>
      <c r="EL86" s="13">
        <f t="shared" si="99"/>
        <v>70.915526361788181</v>
      </c>
      <c r="EM86" s="20">
        <f t="shared" si="73"/>
        <v>643.84387841344744</v>
      </c>
      <c r="EN86" s="57">
        <f t="shared" si="74"/>
        <v>937.17721174678081</v>
      </c>
      <c r="EO86" s="57">
        <f ca="1">AVERAGE(OFFSET($EN$3,0,0,'Données projet'!$E$15+1,1))-AVERAGE(OFFSET($H$3,0,0,'Données projet'!$E$15+1,1))</f>
        <v>447.10969593632467</v>
      </c>
      <c r="EP86" s="57">
        <f t="shared" si="100"/>
        <v>256.77417912163997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88.42382598946314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88.42382598946314</v>
      </c>
      <c r="EZ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7" t="e">
        <f t="shared" si="77"/>
        <v>#N/A</v>
      </c>
      <c r="FJ86" s="57" t="e">
        <f ca="1">AVERAGE(OFFSET($FI$3,0,0,'Données projet'!$E$16+1,1))-AVERAGE(OFFSET($H$3,0,0,'Données projet'!$E$16+1,1))</f>
        <v>#N/A</v>
      </c>
      <c r="FK86" s="57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7" t="e">
        <f t="shared" si="80"/>
        <v>#N/A</v>
      </c>
      <c r="GE86" s="57" t="e">
        <f ca="1">AVERAGE(OFFSET($GD$3,0,0,'Données projet'!$E$17+1,1))-AVERAGE(OFFSET($H$3,0,0,'Données projet'!$E$17+1,1))</f>
        <v>#N/A</v>
      </c>
      <c r="GF86" s="57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7" t="e">
        <f t="shared" si="83"/>
        <v>#N/A</v>
      </c>
      <c r="GZ86" s="57" t="e">
        <f ca="1">AVERAGE(OFFSET($GY$3,0,0,'Données projet'!$E$18+1,1))-AVERAGE(OFFSET($H$3,0,0,'Données projet'!$E$18+1,1))</f>
        <v>#N/A</v>
      </c>
      <c r="HA86" s="57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0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4">
        <f t="shared" si="56"/>
        <v>256.66666666666669</v>
      </c>
      <c r="I87" s="6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636.99999999999977</v>
      </c>
      <c r="O87" s="13">
        <f>N87*VLOOKUP('Données projet'!$B$9,Paramètres!$A$1:$I$89,3,0)*VLOOKUP('Données projet'!$B$9,Paramètres!$A$1:$I$89,5,0)</f>
        <v>356.08299999999991</v>
      </c>
      <c r="P87" s="13">
        <f t="shared" si="87"/>
        <v>82.813805255716545</v>
      </c>
      <c r="Q87" s="20">
        <f t="shared" si="54"/>
        <v>764.41193582037283</v>
      </c>
      <c r="R87" s="57">
        <f t="shared" si="55"/>
        <v>1057.7452691537062</v>
      </c>
      <c r="S87" s="57">
        <f ca="1">AVERAGE(OFFSET($R$3,0,0,'Données projet'!$E$9+1,1))-AVERAGE(OFFSET($H$3,0,0,'Données projet'!$E$9+1,1))</f>
        <v>443.34220761968419</v>
      </c>
      <c r="T87" s="57">
        <f t="shared" si="88"/>
        <v>546.58234447298014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60.758925996241416</v>
      </c>
      <c r="AA87" s="21">
        <f>EXP(-LN(2)/25)*AA86+(1-EXP(-LN(2)/25))/(LN(2)/25)*Calculateur!V87*Calculateur!X87*VLOOKUP('Données projet'!$B$9,Paramètres!$A$1:$I$89,3,0)*0.475*44/12</f>
        <v>4.9086092885839001</v>
      </c>
      <c r="AB87" s="21">
        <f>EXP(-LN(2)/2)*AB86+(1-EXP(-LN(2)/2))/(LN(2)/2)*V87*Y87*VLOOKUP('Données projet'!$B$9,Paramètres!$A$1:$I$89,3,0)*0.475*44/12</f>
        <v>4.5014894312205011E-8</v>
      </c>
      <c r="AC87" s="22">
        <f t="shared" si="57"/>
        <v>65.66753532984022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911.99999999999898</v>
      </c>
      <c r="AJ87" s="13">
        <f>AI87*VLOOKUP('Données projet'!$B$10,Paramètres!$A$1:$I$89,3,0)*VLOOKUP('Données projet'!$B$10,Paramètres!$A$1:$I$89,5,0)</f>
        <v>426.81599999999946</v>
      </c>
      <c r="AK87" s="13">
        <f t="shared" si="89"/>
        <v>97.192496986872399</v>
      </c>
      <c r="AL87" s="20">
        <f t="shared" si="58"/>
        <v>912.64813225213504</v>
      </c>
      <c r="AM87" s="57">
        <f t="shared" si="59"/>
        <v>1205.9814655854684</v>
      </c>
      <c r="AN87" s="57">
        <f ca="1">AVERAGE(OFFSET($AM$3,0,0,'Données projet'!$E$10+1,1))-AVERAGE(OFFSET($H$3,0,0,'Données projet'!$E$10+1,1))</f>
        <v>524.3999528951972</v>
      </c>
      <c r="AO87" s="57">
        <f t="shared" si="90"/>
        <v>459.3547783500515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137.30621517464706</v>
      </c>
      <c r="AV87" s="21">
        <f>EXP(-LN(2)/25)*AV86+(1-EXP(-LN(2)/25))/(LN(2)/25)*Calculateur!AQ87*Calculateur!AS87*VLOOKUP('Données projet'!$B$10,Paramètres!$A$1:$I$89,3,0)*0.475*44/12</f>
        <v>11.957695458293651</v>
      </c>
      <c r="AW87" s="21">
        <f>EXP(-LN(2)/2)*AW86+(1-EXP(-LN(2)/2))/(LN(2)/2)*AQ87*AT87*VLOOKUP('Données projet'!$B$10,Paramètres!$A$1:$I$89,3,0)*0.475*44/12</f>
        <v>8.8828847504807141E-9</v>
      </c>
      <c r="AX87" s="21">
        <f t="shared" si="60"/>
        <v>149.2639106418236</v>
      </c>
      <c r="AY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852.00000000000011</v>
      </c>
      <c r="BE87" s="13">
        <f>BD87*VLOOKUP('Données projet'!$B$11,Paramètres!$A$1:$I$89,3,0)*VLOOKUP('Données projet'!$B$11,Paramètres!$A$1:$I$89,5,0)</f>
        <v>409.81200000000013</v>
      </c>
      <c r="BF87" s="13">
        <f t="shared" si="91"/>
        <v>93.76308331402879</v>
      </c>
      <c r="BG87" s="20">
        <f t="shared" si="61"/>
        <v>877.05993677193362</v>
      </c>
      <c r="BH87" s="57">
        <f t="shared" si="62"/>
        <v>1170.393270105267</v>
      </c>
      <c r="BI87" s="57">
        <f ca="1">AVERAGE(OFFSET($BH$3,0,0,'Données projet'!$E$11+1,1))-AVERAGE(OFFSET($H$3,0,0,'Données projet'!$E$11+1,1))</f>
        <v>495.6473104257044</v>
      </c>
      <c r="BJ87" s="57">
        <f t="shared" si="92"/>
        <v>430.92527296485201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143.03941856528814</v>
      </c>
      <c r="BQ87" s="21">
        <f>EXP(-LN(2)/25)*BQ86+(1-EXP(-LN(2)/25))/(LN(2)/25)*Calculateur!BL87*Calculateur!BN87*VLOOKUP('Données projet'!$B$11,Paramètres!$A$1:$I$89,3,0)*0.475*44/12</f>
        <v>11.265699193346096</v>
      </c>
      <c r="BR87" s="21">
        <f>EXP(-LN(2)/2)*BR86+(1-EXP(-LN(2)/2))/(LN(2)/2)*BL87*BO87*VLOOKUP('Données projet'!$B$11,Paramètres!$A$1:$I$89,3,0)*0.475*44/12</f>
        <v>5.4524188418267046E-9</v>
      </c>
      <c r="BS87" s="22">
        <f t="shared" si="63"/>
        <v>154.30511776408667</v>
      </c>
      <c r="BT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7" t="e">
        <f t="shared" si="65"/>
        <v>#NUM!</v>
      </c>
      <c r="CD87" s="57">
        <f ca="1">AVERAGE(OFFSET($CC$3,0,0,'Données projet'!$E$12+1,1))-AVERAGE(OFFSET($H$3,0,0,'Données projet'!$E$12+1,1))</f>
        <v>187.80389738728508</v>
      </c>
      <c r="CE87" s="57">
        <f t="shared" si="94"/>
        <v>439.28159165815265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42.389213634391616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9.1949044905337202E-9</v>
      </c>
      <c r="CN87" s="22">
        <f t="shared" si="66"/>
        <v>42.389213643586523</v>
      </c>
      <c r="CO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5.8</v>
      </c>
      <c r="CT87" s="12">
        <f>IF('Données projet'!$A$140&gt;35,CT86+CS87-DB86,IF(A87&lt;'Données projet'!$A$140,$CQ$205^A87,IF(A87='Données projet'!$A$140,'Données projet'!$B$140,CT86+CS87-DB86)))</f>
        <v>263.19999999999993</v>
      </c>
      <c r="CU87" s="17">
        <f>CT87*VLOOKUP('Données projet'!$B$13,Paramètres!$A$1:$I$89,3,0)*VLOOKUP('Données projet'!$B$13,Paramètres!$A$1:$I$89,5,0)</f>
        <v>238.14335999999992</v>
      </c>
      <c r="CV87" s="13">
        <f t="shared" si="95"/>
        <v>58.039884968630489</v>
      </c>
      <c r="CW87" s="20">
        <f t="shared" si="67"/>
        <v>515.85248498703129</v>
      </c>
      <c r="CX87" s="57">
        <f t="shared" si="68"/>
        <v>809.18581832036466</v>
      </c>
      <c r="CY87" s="57">
        <f ca="1">AVERAGE(OFFSET($CX$3,0,0,'Données projet'!$E$13+1,1))-AVERAGE(OFFSET($H$3,0,0,'Données projet'!$E$13+1,1))</f>
        <v>364.3481978218424</v>
      </c>
      <c r="CZ87" s="57">
        <f t="shared" si="96"/>
        <v>231.36959598460686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55.627251047695147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55.627251047695147</v>
      </c>
      <c r="DJ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255.00000000000006</v>
      </c>
      <c r="DP87" s="17">
        <f>DO87*VLOOKUP('Données projet'!$B$14,Paramètres!$A$1:$I$89,3,0)*VLOOKUP('Données projet'!$B$14,Paramètres!$A$1:$I$89,5,0)</f>
        <v>186.96600000000004</v>
      </c>
      <c r="DQ87" s="13">
        <f t="shared" si="97"/>
        <v>46.868551400324648</v>
      </c>
      <c r="DR87" s="20">
        <f t="shared" si="70"/>
        <v>407.26184368889881</v>
      </c>
      <c r="DS87" s="57">
        <f t="shared" si="71"/>
        <v>700.59517702223206</v>
      </c>
      <c r="DT87" s="57">
        <f ca="1">AVERAGE(OFFSET($DS$3,0,0,'Données projet'!$E$14+1,1))-AVERAGE(OFFSET($H$3,0,0,'Données projet'!$E$14+1,1))</f>
        <v>239.25212250019609</v>
      </c>
      <c r="DU87" s="57">
        <f t="shared" si="98"/>
        <v>213.58492101729695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8.4</v>
      </c>
      <c r="EJ87" s="12">
        <f>IF('Données projet'!$A$192&gt;35,EJ86+EI87-ER86,IF(A87&lt;'Données projet'!$A$192,$EG$205^A87,IF(A87='Données projet'!$A$192,'Données projet'!$B$192,EJ86+EI87-ER86)))</f>
        <v>356.5999999999998</v>
      </c>
      <c r="EK87" s="17">
        <f>EJ87*VLOOKUP('Données projet'!$B$15,Paramètres!$A$1:$I$89,3,0)*VLOOKUP('Données projet'!$B$15,Paramètres!$A$1:$I$89,5,0)</f>
        <v>305.96279999999985</v>
      </c>
      <c r="EL87" s="13">
        <f t="shared" si="99"/>
        <v>72.425059957831166</v>
      </c>
      <c r="EM87" s="20">
        <f t="shared" si="73"/>
        <v>659.02552275988899</v>
      </c>
      <c r="EN87" s="57">
        <f t="shared" si="74"/>
        <v>952.35885609322236</v>
      </c>
      <c r="EO87" s="57">
        <f ca="1">AVERAGE(OFFSET($EN$3,0,0,'Données projet'!$E$15+1,1))-AVERAGE(OFFSET($H$3,0,0,'Données projet'!$E$15+1,1))</f>
        <v>447.10969593632467</v>
      </c>
      <c r="EP87" s="57">
        <f t="shared" si="100"/>
        <v>256.77417912163997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86.689888695018155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86.689888695018155</v>
      </c>
      <c r="EZ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7" t="e">
        <f t="shared" si="77"/>
        <v>#N/A</v>
      </c>
      <c r="FJ87" s="57" t="e">
        <f ca="1">AVERAGE(OFFSET($FI$3,0,0,'Données projet'!$E$16+1,1))-AVERAGE(OFFSET($H$3,0,0,'Données projet'!$E$16+1,1))</f>
        <v>#N/A</v>
      </c>
      <c r="FK87" s="57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7" t="e">
        <f t="shared" si="80"/>
        <v>#N/A</v>
      </c>
      <c r="GE87" s="57" t="e">
        <f ca="1">AVERAGE(OFFSET($GD$3,0,0,'Données projet'!$E$17+1,1))-AVERAGE(OFFSET($H$3,0,0,'Données projet'!$E$17+1,1))</f>
        <v>#N/A</v>
      </c>
      <c r="GF87" s="57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7" t="e">
        <f t="shared" si="83"/>
        <v>#N/A</v>
      </c>
      <c r="GZ87" s="57" t="e">
        <f ca="1">AVERAGE(OFFSET($GY$3,0,0,'Données projet'!$E$18+1,1))-AVERAGE(OFFSET($H$3,0,0,'Données projet'!$E$18+1,1))</f>
        <v>#N/A</v>
      </c>
      <c r="HA87" s="57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0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4">
        <f t="shared" si="56"/>
        <v>256.66666666666669</v>
      </c>
      <c r="I88" s="6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636.99999999999977</v>
      </c>
      <c r="O88" s="13">
        <f>N88*VLOOKUP('Données projet'!$B$9,Paramètres!$A$1:$I$89,3,0)*VLOOKUP('Données projet'!$B$9,Paramètres!$A$1:$I$89,5,0)</f>
        <v>356.08299999999991</v>
      </c>
      <c r="P88" s="13">
        <f t="shared" si="87"/>
        <v>82.813805255716545</v>
      </c>
      <c r="Q88" s="20">
        <f t="shared" si="54"/>
        <v>764.41193582037283</v>
      </c>
      <c r="R88" s="57">
        <f t="shared" si="55"/>
        <v>1057.7452691537062</v>
      </c>
      <c r="S88" s="57">
        <f ca="1">AVERAGE(OFFSET($R$3,0,0,'Données projet'!$E$9+1,1))-AVERAGE(OFFSET($H$3,0,0,'Données projet'!$E$9+1,1))</f>
        <v>443.34220761968419</v>
      </c>
      <c r="T88" s="57">
        <f t="shared" si="88"/>
        <v>546.58234447298014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59.56748051674068</v>
      </c>
      <c r="AA88" s="21">
        <f>EXP(-LN(2)/25)*AA87+(1-EXP(-LN(2)/25))/(LN(2)/25)*Calculateur!V88*Calculateur!X88*VLOOKUP('Données projet'!$B$9,Paramètres!$A$1:$I$89,3,0)*0.475*44/12</f>
        <v>4.7743831094550293</v>
      </c>
      <c r="AB88" s="21">
        <f>EXP(-LN(2)/2)*AB87+(1-EXP(-LN(2)/2))/(LN(2)/2)*V88*Y88*VLOOKUP('Données projet'!$B$9,Paramètres!$A$1:$I$89,3,0)*0.475*44/12</f>
        <v>3.1830337022555911E-8</v>
      </c>
      <c r="AC88" s="22">
        <f t="shared" si="57"/>
        <v>64.341863658026043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911.99999999999898</v>
      </c>
      <c r="AJ88" s="13">
        <f>AI88*VLOOKUP('Données projet'!$B$10,Paramètres!$A$1:$I$89,3,0)*VLOOKUP('Données projet'!$B$10,Paramètres!$A$1:$I$89,5,0)</f>
        <v>426.81599999999946</v>
      </c>
      <c r="AK88" s="13">
        <f t="shared" si="89"/>
        <v>97.192496986872399</v>
      </c>
      <c r="AL88" s="20">
        <f t="shared" si="58"/>
        <v>912.64813225213504</v>
      </c>
      <c r="AM88" s="57">
        <f t="shared" si="59"/>
        <v>1205.9814655854684</v>
      </c>
      <c r="AN88" s="57">
        <f ca="1">AVERAGE(OFFSET($AM$3,0,0,'Données projet'!$E$10+1,1))-AVERAGE(OFFSET($H$3,0,0,'Données projet'!$E$10+1,1))</f>
        <v>524.3999528951972</v>
      </c>
      <c r="AO88" s="57">
        <f t="shared" si="90"/>
        <v>459.3547783500515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134.613724043594</v>
      </c>
      <c r="AV88" s="21">
        <f>EXP(-LN(2)/25)*AV87+(1-EXP(-LN(2)/25))/(LN(2)/25)*Calculateur!AQ88*Calculateur!AS88*VLOOKUP('Données projet'!$B$10,Paramètres!$A$1:$I$89,3,0)*0.475*44/12</f>
        <v>11.630711647158737</v>
      </c>
      <c r="AW88" s="21">
        <f>EXP(-LN(2)/2)*AW87+(1-EXP(-LN(2)/2))/(LN(2)/2)*AQ88*AT88*VLOOKUP('Données projet'!$B$10,Paramètres!$A$1:$I$89,3,0)*0.475*44/12</f>
        <v>6.2811480435634861E-9</v>
      </c>
      <c r="AX88" s="21">
        <f t="shared" si="60"/>
        <v>146.24443569703388</v>
      </c>
      <c r="AY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852.00000000000011</v>
      </c>
      <c r="BE88" s="13">
        <f>BD88*VLOOKUP('Données projet'!$B$11,Paramètres!$A$1:$I$89,3,0)*VLOOKUP('Données projet'!$B$11,Paramètres!$A$1:$I$89,5,0)</f>
        <v>409.81200000000013</v>
      </c>
      <c r="BF88" s="13">
        <f t="shared" si="91"/>
        <v>93.76308331402879</v>
      </c>
      <c r="BG88" s="20">
        <f t="shared" si="61"/>
        <v>877.05993677193362</v>
      </c>
      <c r="BH88" s="57">
        <f t="shared" si="62"/>
        <v>1170.393270105267</v>
      </c>
      <c r="BI88" s="57">
        <f ca="1">AVERAGE(OFFSET($BH$3,0,0,'Données projet'!$E$11+1,1))-AVERAGE(OFFSET($H$3,0,0,'Données projet'!$E$11+1,1))</f>
        <v>495.6473104257044</v>
      </c>
      <c r="BJ88" s="57">
        <f t="shared" si="92"/>
        <v>430.92527296485201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140.2345028126534</v>
      </c>
      <c r="BQ88" s="21">
        <f>EXP(-LN(2)/25)*BQ87+(1-EXP(-LN(2)/25))/(LN(2)/25)*Calculateur!BL88*Calculateur!BN88*VLOOKUP('Données projet'!$B$11,Paramètres!$A$1:$I$89,3,0)*0.475*44/12</f>
        <v>10.957638056466674</v>
      </c>
      <c r="BR88" s="21">
        <f>EXP(-LN(2)/2)*BR87+(1-EXP(-LN(2)/2))/(LN(2)/2)*BL88*BO88*VLOOKUP('Données projet'!$B$11,Paramètres!$A$1:$I$89,3,0)*0.475*44/12</f>
        <v>3.8554423369249645E-9</v>
      </c>
      <c r="BS88" s="22">
        <f t="shared" si="63"/>
        <v>151.1921408729755</v>
      </c>
      <c r="BT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7" t="e">
        <f t="shared" si="65"/>
        <v>#NUM!</v>
      </c>
      <c r="CD88" s="57">
        <f ca="1">AVERAGE(OFFSET($CC$3,0,0,'Données projet'!$E$12+1,1))-AVERAGE(OFFSET($H$3,0,0,'Données projet'!$E$12+1,1))</f>
        <v>187.80389738728508</v>
      </c>
      <c r="CE88" s="57">
        <f t="shared" si="94"/>
        <v>439.28159165815265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41.557987009888556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6.5017793176190306E-9</v>
      </c>
      <c r="CN88" s="22">
        <f t="shared" si="66"/>
        <v>41.557987016390335</v>
      </c>
      <c r="CO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269</v>
      </c>
      <c r="CR88" s="12">
        <f>VLOOKUP(A88,'Données projet'!$A$139:$I$159,9,0)</f>
        <v>5.8</v>
      </c>
      <c r="CS88" s="12">
        <f t="array" ref="CS88">INDEX(CR:CR,MIN(IF(ISNUMBER(CR88:CR284),ROW(CR88:CR284),"")))</f>
        <v>5.8</v>
      </c>
      <c r="CT88" s="12">
        <f>IF('Données projet'!$A$140&gt;35,CT87+CS88-DB87,IF(A88&lt;'Données projet'!$A$140,$CQ$205^A88,IF(A88='Données projet'!$A$140,'Données projet'!$B$140,CT87+CS88-DB87)))</f>
        <v>268.99999999999994</v>
      </c>
      <c r="CU88" s="17">
        <f>CT88*VLOOKUP('Données projet'!$B$13,Paramètres!$A$1:$I$89,3,0)*VLOOKUP('Données projet'!$B$13,Paramètres!$A$1:$I$89,5,0)</f>
        <v>243.39119999999994</v>
      </c>
      <c r="CV88" s="13">
        <f t="shared" si="95"/>
        <v>59.168566788241527</v>
      </c>
      <c r="CW88" s="20">
        <f t="shared" si="67"/>
        <v>526.95826048952051</v>
      </c>
      <c r="CX88" s="57">
        <f t="shared" si="68"/>
        <v>820.29159382285388</v>
      </c>
      <c r="CY88" s="57">
        <f ca="1">AVERAGE(OFFSET($CX$3,0,0,'Données projet'!$E$13+1,1))-AVERAGE(OFFSET($H$3,0,0,'Données projet'!$E$13+1,1))</f>
        <v>364.3481978218424</v>
      </c>
      <c r="CZ88" s="57">
        <f t="shared" si="96"/>
        <v>231.36959598460686</v>
      </c>
      <c r="DA88" s="15">
        <f>IF(ISNA(VLOOKUP(A88,'Données projet'!$A$139:$I$159,3,0)),0,VLOOKUP(A88,'Données projet'!$A$139:$I$159,3,0))</f>
        <v>13</v>
      </c>
      <c r="DB88" s="15">
        <f>IF(ISNA(VLOOKUP(A88,'Données projet'!$A$139:$I$159,4,0)),0,VLOOKUP(A88,'Données projet'!$A$139:$I$159,4,0))</f>
        <v>21</v>
      </c>
      <c r="DC88" s="16">
        <f>IF(ISNA(VLOOKUP(A88,'Données projet'!$A$139:$I$159,5,0)),0%,VLOOKUP(A88,'Données projet'!$A$139:$I$159,5,0)*VLOOKUP('Données projet'!$B$13,Paramètres!$A$1:$I$89,7,0))</f>
        <v>0.43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63.568507866517507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63.568507866517507</v>
      </c>
      <c r="DJ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255.00000000000006</v>
      </c>
      <c r="DP88" s="17">
        <f>DO88*VLOOKUP('Données projet'!$B$14,Paramètres!$A$1:$I$89,3,0)*VLOOKUP('Données projet'!$B$14,Paramètres!$A$1:$I$89,5,0)</f>
        <v>186.96600000000004</v>
      </c>
      <c r="DQ88" s="13">
        <f t="shared" si="97"/>
        <v>46.868551400324648</v>
      </c>
      <c r="DR88" s="20">
        <f t="shared" si="70"/>
        <v>407.26184368889881</v>
      </c>
      <c r="DS88" s="57">
        <f t="shared" si="71"/>
        <v>700.59517702223206</v>
      </c>
      <c r="DT88" s="57">
        <f ca="1">AVERAGE(OFFSET($DS$3,0,0,'Données projet'!$E$14+1,1))-AVERAGE(OFFSET($H$3,0,0,'Données projet'!$E$14+1,1))</f>
        <v>239.25212250019609</v>
      </c>
      <c r="DU88" s="57">
        <f t="shared" si="98"/>
        <v>213.58492101729695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365</v>
      </c>
      <c r="EH88" s="12">
        <f>VLOOKUP(A88,'Données projet'!$A$191:$I$211,9,0)</f>
        <v>8.4</v>
      </c>
      <c r="EI88" s="12">
        <f t="array" ref="EI88">INDEX(EH:EH,MIN(IF(ISNUMBER(EH88:EH284),ROW(EH88:EH284),"")))</f>
        <v>8.4</v>
      </c>
      <c r="EJ88" s="12">
        <f>IF('Données projet'!$A$192&gt;35,EJ87+EI88-ER87,IF(A88&lt;'Données projet'!$A$192,$EG$205^A88,IF(A88='Données projet'!$A$192,'Données projet'!$B$192,EJ87+EI88-ER87)))</f>
        <v>364.99999999999977</v>
      </c>
      <c r="EK88" s="17">
        <f>EJ88*VLOOKUP('Données projet'!$B$15,Paramètres!$A$1:$I$89,3,0)*VLOOKUP('Données projet'!$B$15,Paramètres!$A$1:$I$89,5,0)</f>
        <v>313.16999999999985</v>
      </c>
      <c r="EL88" s="13">
        <f t="shared" si="99"/>
        <v>73.930459835341836</v>
      </c>
      <c r="EM88" s="20">
        <f t="shared" si="73"/>
        <v>674.19996754655335</v>
      </c>
      <c r="EN88" s="57">
        <f t="shared" si="74"/>
        <v>967.53330087988661</v>
      </c>
      <c r="EO88" s="57">
        <f ca="1">AVERAGE(OFFSET($EN$3,0,0,'Données projet'!$E$15+1,1))-AVERAGE(OFFSET($H$3,0,0,'Données projet'!$E$15+1,1))</f>
        <v>447.10969593632467</v>
      </c>
      <c r="EP88" s="57">
        <f t="shared" si="100"/>
        <v>256.77417912163997</v>
      </c>
      <c r="EQ88" s="15">
        <f>IF(ISNA(VLOOKUP(A88,'Données projet'!$A$191:$I$211,3,0)),0,VLOOKUP(A88,'Données projet'!$A$191:$I$211,3,0))</f>
        <v>13</v>
      </c>
      <c r="ER88" s="15">
        <f>IF(ISNA(VLOOKUP(A88,'Données projet'!$A$191:$I$211,4,0)),0,VLOOKUP(A88,'Données projet'!$A$191:$I$211,4,0))</f>
        <v>27</v>
      </c>
      <c r="ES88" s="16">
        <f>IF(ISNA(VLOOKUP(A88,'Données projet'!$A$191:$I$211,5,0)),0%,VLOOKUP(A88,'Données projet'!$A$191:$I$211,5,0)*VLOOKUP('Données projet'!$B$15,Paramètres!$A$1:$I$89,7,0))</f>
        <v>0.53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98.562896063817888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98.562896063817888</v>
      </c>
      <c r="EZ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7" t="e">
        <f t="shared" si="77"/>
        <v>#N/A</v>
      </c>
      <c r="FJ88" s="57" t="e">
        <f ca="1">AVERAGE(OFFSET($FI$3,0,0,'Données projet'!$E$16+1,1))-AVERAGE(OFFSET($H$3,0,0,'Données projet'!$E$16+1,1))</f>
        <v>#N/A</v>
      </c>
      <c r="FK88" s="57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7" t="e">
        <f t="shared" si="80"/>
        <v>#N/A</v>
      </c>
      <c r="GE88" s="57" t="e">
        <f ca="1">AVERAGE(OFFSET($GD$3,0,0,'Données projet'!$E$17+1,1))-AVERAGE(OFFSET($H$3,0,0,'Données projet'!$E$17+1,1))</f>
        <v>#N/A</v>
      </c>
      <c r="GF88" s="57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7" t="e">
        <f t="shared" si="83"/>
        <v>#N/A</v>
      </c>
      <c r="GZ88" s="57" t="e">
        <f ca="1">AVERAGE(OFFSET($GY$3,0,0,'Données projet'!$E$18+1,1))-AVERAGE(OFFSET($H$3,0,0,'Données projet'!$E$18+1,1))</f>
        <v>#N/A</v>
      </c>
      <c r="HA88" s="57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0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4">
        <f t="shared" si="56"/>
        <v>256.66666666666669</v>
      </c>
      <c r="I89" s="6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636.99999999999977</v>
      </c>
      <c r="O89" s="13">
        <f>N89*VLOOKUP('Données projet'!$B$9,Paramètres!$A$1:$I$89,3,0)*VLOOKUP('Données projet'!$B$9,Paramètres!$A$1:$I$89,5,0)</f>
        <v>356.08299999999991</v>
      </c>
      <c r="P89" s="13">
        <f t="shared" si="87"/>
        <v>82.813805255716545</v>
      </c>
      <c r="Q89" s="20">
        <f t="shared" si="54"/>
        <v>764.41193582037283</v>
      </c>
      <c r="R89" s="57">
        <f t="shared" si="55"/>
        <v>1057.7452691537062</v>
      </c>
      <c r="S89" s="57">
        <f ca="1">AVERAGE(OFFSET($R$3,0,0,'Données projet'!$E$9+1,1))-AVERAGE(OFFSET($H$3,0,0,'Données projet'!$E$9+1,1))</f>
        <v>443.34220761968419</v>
      </c>
      <c r="T89" s="57">
        <f t="shared" si="88"/>
        <v>546.58234447298014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58.39939855638297</v>
      </c>
      <c r="AA89" s="21">
        <f>EXP(-LN(2)/25)*AA88+(1-EXP(-LN(2)/25))/(LN(2)/25)*Calculateur!V89*Calculateur!X89*VLOOKUP('Données projet'!$B$9,Paramètres!$A$1:$I$89,3,0)*0.475*44/12</f>
        <v>4.6438273522530862</v>
      </c>
      <c r="AB89" s="21">
        <f>EXP(-LN(2)/2)*AB88+(1-EXP(-LN(2)/2))/(LN(2)/2)*V89*Y89*VLOOKUP('Données projet'!$B$9,Paramètres!$A$1:$I$89,3,0)*0.475*44/12</f>
        <v>2.2507447156102506E-8</v>
      </c>
      <c r="AC89" s="22">
        <f t="shared" si="57"/>
        <v>63.043225931143503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911.99999999999898</v>
      </c>
      <c r="AJ89" s="13">
        <f>AI89*VLOOKUP('Données projet'!$B$10,Paramètres!$A$1:$I$89,3,0)*VLOOKUP('Données projet'!$B$10,Paramètres!$A$1:$I$89,5,0)</f>
        <v>426.81599999999946</v>
      </c>
      <c r="AK89" s="13">
        <f t="shared" si="89"/>
        <v>97.192496986872399</v>
      </c>
      <c r="AL89" s="20">
        <f t="shared" si="58"/>
        <v>912.64813225213504</v>
      </c>
      <c r="AM89" s="57">
        <f t="shared" si="59"/>
        <v>1205.9814655854684</v>
      </c>
      <c r="AN89" s="57">
        <f ca="1">AVERAGE(OFFSET($AM$3,0,0,'Données projet'!$E$10+1,1))-AVERAGE(OFFSET($H$3,0,0,'Données projet'!$E$10+1,1))</f>
        <v>524.3999528951972</v>
      </c>
      <c r="AO89" s="57">
        <f t="shared" si="90"/>
        <v>459.3547783500515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131.97403102136346</v>
      </c>
      <c r="AV89" s="21">
        <f>EXP(-LN(2)/25)*AV88+(1-EXP(-LN(2)/25))/(LN(2)/25)*Calculateur!AQ89*Calculateur!AS89*VLOOKUP('Données projet'!$B$10,Paramètres!$A$1:$I$89,3,0)*0.475*44/12</f>
        <v>11.312669225534638</v>
      </c>
      <c r="AW89" s="21">
        <f>EXP(-LN(2)/2)*AW88+(1-EXP(-LN(2)/2))/(LN(2)/2)*AQ89*AT89*VLOOKUP('Données projet'!$B$10,Paramètres!$A$1:$I$89,3,0)*0.475*44/12</f>
        <v>4.441442375240357E-9</v>
      </c>
      <c r="AX89" s="21">
        <f t="shared" si="60"/>
        <v>143.28670025133954</v>
      </c>
      <c r="AY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852.00000000000011</v>
      </c>
      <c r="BE89" s="13">
        <f>BD89*VLOOKUP('Données projet'!$B$11,Paramètres!$A$1:$I$89,3,0)*VLOOKUP('Données projet'!$B$11,Paramètres!$A$1:$I$89,5,0)</f>
        <v>409.81200000000013</v>
      </c>
      <c r="BF89" s="13">
        <f t="shared" si="91"/>
        <v>93.76308331402879</v>
      </c>
      <c r="BG89" s="20">
        <f t="shared" si="61"/>
        <v>877.05993677193362</v>
      </c>
      <c r="BH89" s="57">
        <f t="shared" si="62"/>
        <v>1170.393270105267</v>
      </c>
      <c r="BI89" s="57">
        <f ca="1">AVERAGE(OFFSET($BH$3,0,0,'Données projet'!$E$11+1,1))-AVERAGE(OFFSET($H$3,0,0,'Données projet'!$E$11+1,1))</f>
        <v>495.6473104257044</v>
      </c>
      <c r="BJ89" s="57">
        <f t="shared" si="92"/>
        <v>430.92527296485201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137.48458974709814</v>
      </c>
      <c r="BQ89" s="21">
        <f>EXP(-LN(2)/25)*BQ88+(1-EXP(-LN(2)/25))/(LN(2)/25)*Calculateur!BL89*Calculateur!BN89*VLOOKUP('Données projet'!$B$11,Paramètres!$A$1:$I$89,3,0)*0.475*44/12</f>
        <v>10.658000867575451</v>
      </c>
      <c r="BR89" s="21">
        <f>EXP(-LN(2)/2)*BR88+(1-EXP(-LN(2)/2))/(LN(2)/2)*BL89*BO89*VLOOKUP('Données projet'!$B$11,Paramètres!$A$1:$I$89,3,0)*0.475*44/12</f>
        <v>2.7262094209133523E-9</v>
      </c>
      <c r="BS89" s="22">
        <f t="shared" si="63"/>
        <v>148.1425906173998</v>
      </c>
      <c r="BT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7" t="e">
        <f t="shared" si="65"/>
        <v>#NUM!</v>
      </c>
      <c r="CD89" s="57">
        <f ca="1">AVERAGE(OFFSET($CC$3,0,0,'Données projet'!$E$12+1,1))-AVERAGE(OFFSET($H$3,0,0,'Données projet'!$E$12+1,1))</f>
        <v>187.80389738728508</v>
      </c>
      <c r="CE89" s="57">
        <f t="shared" si="94"/>
        <v>439.28159165815265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40.743060232493825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4.5974522452668601E-9</v>
      </c>
      <c r="CN89" s="22">
        <f t="shared" si="66"/>
        <v>40.743060237091278</v>
      </c>
      <c r="CO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5.4</v>
      </c>
      <c r="CT89" s="12">
        <f>IF('Données projet'!$A$140&gt;35,CT88+CS89-DB88,IF(A89&lt;'Données projet'!$A$140,$CQ$205^A89,IF(A89='Données projet'!$A$140,'Données projet'!$B$140,CT88+CS89-DB88)))</f>
        <v>253.39999999999992</v>
      </c>
      <c r="CU89" s="17">
        <f>CT89*VLOOKUP('Données projet'!$B$13,Paramètres!$A$1:$I$89,3,0)*VLOOKUP('Données projet'!$B$13,Paramètres!$A$1:$I$89,5,0)</f>
        <v>229.27631999999994</v>
      </c>
      <c r="CV89" s="13">
        <f t="shared" si="95"/>
        <v>56.126176307517476</v>
      </c>
      <c r="CW89" s="20">
        <f t="shared" si="67"/>
        <v>497.07601440225949</v>
      </c>
      <c r="CX89" s="57">
        <f t="shared" si="68"/>
        <v>790.40934773559275</v>
      </c>
      <c r="CY89" s="57">
        <f ca="1">AVERAGE(OFFSET($CX$3,0,0,'Données projet'!$E$13+1,1))-AVERAGE(OFFSET($H$3,0,0,'Données projet'!$E$13+1,1))</f>
        <v>364.3481978218424</v>
      </c>
      <c r="CZ89" s="57">
        <f t="shared" si="96"/>
        <v>231.36959598460686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62.321968200216382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62.321968200216382</v>
      </c>
      <c r="DJ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255.00000000000006</v>
      </c>
      <c r="DP89" s="17">
        <f>DO89*VLOOKUP('Données projet'!$B$14,Paramètres!$A$1:$I$89,3,0)*VLOOKUP('Données projet'!$B$14,Paramètres!$A$1:$I$89,5,0)</f>
        <v>186.96600000000004</v>
      </c>
      <c r="DQ89" s="13">
        <f t="shared" si="97"/>
        <v>46.868551400324648</v>
      </c>
      <c r="DR89" s="20">
        <f t="shared" si="70"/>
        <v>407.26184368889881</v>
      </c>
      <c r="DS89" s="57">
        <f t="shared" si="71"/>
        <v>700.59517702223206</v>
      </c>
      <c r="DT89" s="57">
        <f ca="1">AVERAGE(OFFSET($DS$3,0,0,'Données projet'!$E$14+1,1))-AVERAGE(OFFSET($H$3,0,0,'Données projet'!$E$14+1,1))</f>
        <v>239.25212250019609</v>
      </c>
      <c r="DU89" s="57">
        <f t="shared" si="98"/>
        <v>213.58492101729695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7.8</v>
      </c>
      <c r="EJ89" s="12">
        <f>IF('Données projet'!$A$192&gt;35,EJ88+EI89-ER88,IF(A89&lt;'Données projet'!$A$192,$EG$205^A89,IF(A89='Données projet'!$A$192,'Données projet'!$B$192,EJ88+EI89-ER88)))</f>
        <v>345.79999999999978</v>
      </c>
      <c r="EK89" s="17">
        <f>EJ89*VLOOKUP('Données projet'!$B$15,Paramètres!$A$1:$I$89,3,0)*VLOOKUP('Données projet'!$B$15,Paramètres!$A$1:$I$89,5,0)</f>
        <v>296.69639999999981</v>
      </c>
      <c r="EL89" s="13">
        <f t="shared" si="99"/>
        <v>70.48345633189993</v>
      </c>
      <c r="EM89" s="20">
        <f t="shared" si="73"/>
        <v>639.50491644472538</v>
      </c>
      <c r="EN89" s="57">
        <f t="shared" si="74"/>
        <v>932.83824977805875</v>
      </c>
      <c r="EO89" s="57">
        <f ca="1">AVERAGE(OFFSET($EN$3,0,0,'Données projet'!$E$15+1,1))-AVERAGE(OFFSET($H$3,0,0,'Données projet'!$E$15+1,1))</f>
        <v>447.10969593632467</v>
      </c>
      <c r="EP89" s="57">
        <f t="shared" si="100"/>
        <v>256.77417912163997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96.630137789436915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96.630137789436915</v>
      </c>
      <c r="EZ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7" t="e">
        <f t="shared" si="77"/>
        <v>#N/A</v>
      </c>
      <c r="FJ89" s="57" t="e">
        <f ca="1">AVERAGE(OFFSET($FI$3,0,0,'Données projet'!$E$16+1,1))-AVERAGE(OFFSET($H$3,0,0,'Données projet'!$E$16+1,1))</f>
        <v>#N/A</v>
      </c>
      <c r="FK89" s="57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7" t="e">
        <f t="shared" si="80"/>
        <v>#N/A</v>
      </c>
      <c r="GE89" s="57" t="e">
        <f ca="1">AVERAGE(OFFSET($GD$3,0,0,'Données projet'!$E$17+1,1))-AVERAGE(OFFSET($H$3,0,0,'Données projet'!$E$17+1,1))</f>
        <v>#N/A</v>
      </c>
      <c r="GF89" s="57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7" t="e">
        <f t="shared" si="83"/>
        <v>#N/A</v>
      </c>
      <c r="GZ89" s="57" t="e">
        <f ca="1">AVERAGE(OFFSET($GY$3,0,0,'Données projet'!$E$18+1,1))-AVERAGE(OFFSET($H$3,0,0,'Données projet'!$E$18+1,1))</f>
        <v>#N/A</v>
      </c>
      <c r="HA89" s="57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0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4">
        <f t="shared" si="56"/>
        <v>256.66666666666669</v>
      </c>
      <c r="I90" s="6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636.99999999999977</v>
      </c>
      <c r="O90" s="13">
        <f>N90*VLOOKUP('Données projet'!$B$9,Paramètres!$A$1:$I$89,3,0)*VLOOKUP('Données projet'!$B$9,Paramètres!$A$1:$I$89,5,0)</f>
        <v>356.08299999999991</v>
      </c>
      <c r="P90" s="13">
        <f t="shared" si="87"/>
        <v>82.813805255716545</v>
      </c>
      <c r="Q90" s="20">
        <f t="shared" si="54"/>
        <v>764.41193582037283</v>
      </c>
      <c r="R90" s="57">
        <f t="shared" si="55"/>
        <v>1057.7452691537062</v>
      </c>
      <c r="S90" s="57">
        <f ca="1">AVERAGE(OFFSET($R$3,0,0,'Données projet'!$E$9+1,1))-AVERAGE(OFFSET($H$3,0,0,'Données projet'!$E$9+1,1))</f>
        <v>443.34220761968419</v>
      </c>
      <c r="T90" s="57">
        <f t="shared" si="88"/>
        <v>546.58234447298014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57.254221970808224</v>
      </c>
      <c r="AA90" s="21">
        <f>EXP(-LN(2)/25)*AA89+(1-EXP(-LN(2)/25))/(LN(2)/25)*Calculateur!V90*Calculateur!X90*VLOOKUP('Données projet'!$B$9,Paramètres!$A$1:$I$89,3,0)*0.475*44/12</f>
        <v>4.5168416490974588</v>
      </c>
      <c r="AB90" s="21">
        <f>EXP(-LN(2)/2)*AB89+(1-EXP(-LN(2)/2))/(LN(2)/2)*V90*Y90*VLOOKUP('Données projet'!$B$9,Paramètres!$A$1:$I$89,3,0)*0.475*44/12</f>
        <v>1.5915168511277956E-8</v>
      </c>
      <c r="AC90" s="22">
        <f t="shared" si="57"/>
        <v>61.771063635820852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911.99999999999898</v>
      </c>
      <c r="AJ90" s="13">
        <f>AI90*VLOOKUP('Données projet'!$B$10,Paramètres!$A$1:$I$89,3,0)*VLOOKUP('Données projet'!$B$10,Paramètres!$A$1:$I$89,5,0)</f>
        <v>426.81599999999946</v>
      </c>
      <c r="AK90" s="13">
        <f t="shared" si="89"/>
        <v>97.192496986872399</v>
      </c>
      <c r="AL90" s="20">
        <f t="shared" si="58"/>
        <v>912.64813225213504</v>
      </c>
      <c r="AM90" s="57">
        <f t="shared" si="59"/>
        <v>1205.9814655854684</v>
      </c>
      <c r="AN90" s="57">
        <f ca="1">AVERAGE(OFFSET($AM$3,0,0,'Données projet'!$E$10+1,1))-AVERAGE(OFFSET($H$3,0,0,'Données projet'!$E$10+1,1))</f>
        <v>524.3999528951972</v>
      </c>
      <c r="AO90" s="57">
        <f t="shared" si="90"/>
        <v>459.3547783500515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129.3861007692451</v>
      </c>
      <c r="AV90" s="21">
        <f>EXP(-LN(2)/25)*AV89+(1-EXP(-LN(2)/25))/(LN(2)/25)*Calculateur!AQ90*Calculateur!AS90*VLOOKUP('Données projet'!$B$10,Paramètres!$A$1:$I$89,3,0)*0.475*44/12</f>
        <v>11.003323690654973</v>
      </c>
      <c r="AW90" s="21">
        <f>EXP(-LN(2)/2)*AW89+(1-EXP(-LN(2)/2))/(LN(2)/2)*AQ90*AT90*VLOOKUP('Données projet'!$B$10,Paramètres!$A$1:$I$89,3,0)*0.475*44/12</f>
        <v>3.1405740217817431E-9</v>
      </c>
      <c r="AX90" s="21">
        <f t="shared" si="60"/>
        <v>140.38942446304065</v>
      </c>
      <c r="AY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852.00000000000011</v>
      </c>
      <c r="BE90" s="13">
        <f>BD90*VLOOKUP('Données projet'!$B$11,Paramètres!$A$1:$I$89,3,0)*VLOOKUP('Données projet'!$B$11,Paramètres!$A$1:$I$89,5,0)</f>
        <v>409.81200000000013</v>
      </c>
      <c r="BF90" s="13">
        <f t="shared" si="91"/>
        <v>93.76308331402879</v>
      </c>
      <c r="BG90" s="20">
        <f t="shared" si="61"/>
        <v>877.05993677193362</v>
      </c>
      <c r="BH90" s="57">
        <f t="shared" si="62"/>
        <v>1170.393270105267</v>
      </c>
      <c r="BI90" s="57">
        <f ca="1">AVERAGE(OFFSET($BH$3,0,0,'Données projet'!$E$11+1,1))-AVERAGE(OFFSET($H$3,0,0,'Données projet'!$E$11+1,1))</f>
        <v>495.6473104257044</v>
      </c>
      <c r="BJ90" s="57">
        <f t="shared" si="92"/>
        <v>430.92527296485201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134.78860079947708</v>
      </c>
      <c r="BQ90" s="21">
        <f>EXP(-LN(2)/25)*BQ89+(1-EXP(-LN(2)/25))/(LN(2)/25)*Calculateur!BL90*Calculateur!BN90*VLOOKUP('Données projet'!$B$11,Paramètres!$A$1:$I$89,3,0)*0.475*44/12</f>
        <v>10.366557273371694</v>
      </c>
      <c r="BR90" s="21">
        <f>EXP(-LN(2)/2)*BR89+(1-EXP(-LN(2)/2))/(LN(2)/2)*BL90*BO90*VLOOKUP('Données projet'!$B$11,Paramètres!$A$1:$I$89,3,0)*0.475*44/12</f>
        <v>1.9277211684624823E-9</v>
      </c>
      <c r="BS90" s="22">
        <f t="shared" si="63"/>
        <v>145.15515807477649</v>
      </c>
      <c r="BT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7" t="e">
        <f t="shared" si="65"/>
        <v>#NUM!</v>
      </c>
      <c r="CD90" s="57">
        <f ca="1">AVERAGE(OFFSET($CC$3,0,0,'Données projet'!$E$12+1,1))-AVERAGE(OFFSET($H$3,0,0,'Données projet'!$E$12+1,1))</f>
        <v>187.80389738728508</v>
      </c>
      <c r="CE90" s="57">
        <f t="shared" si="94"/>
        <v>439.28159165815265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39.944113672147552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3.2508896588095153E-9</v>
      </c>
      <c r="CN90" s="22">
        <f t="shared" si="66"/>
        <v>39.944113675398441</v>
      </c>
      <c r="CO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5.4</v>
      </c>
      <c r="CT90" s="12">
        <f>IF('Données projet'!$A$140&gt;35,CT89+CS90-DB89,IF(A90&lt;'Données projet'!$A$140,$CQ$205^A90,IF(A90='Données projet'!$A$140,'Données projet'!$B$140,CT89+CS90-DB89)))</f>
        <v>258.7999999999999</v>
      </c>
      <c r="CU90" s="17">
        <f>CT90*VLOOKUP('Données projet'!$B$13,Paramètres!$A$1:$I$89,3,0)*VLOOKUP('Données projet'!$B$13,Paramètres!$A$1:$I$89,5,0)</f>
        <v>234.16223999999988</v>
      </c>
      <c r="CV90" s="13">
        <f t="shared" si="95"/>
        <v>57.181713578143047</v>
      </c>
      <c r="CW90" s="20">
        <f t="shared" si="67"/>
        <v>507.42405248193222</v>
      </c>
      <c r="CX90" s="57">
        <f t="shared" si="68"/>
        <v>800.75738581526548</v>
      </c>
      <c r="CY90" s="57">
        <f ca="1">AVERAGE(OFFSET($CX$3,0,0,'Données projet'!$E$13+1,1))-AVERAGE(OFFSET($H$3,0,0,'Données projet'!$E$13+1,1))</f>
        <v>364.3481978218424</v>
      </c>
      <c r="CZ90" s="57">
        <f t="shared" si="96"/>
        <v>231.36959598460686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61.099872416457302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61.099872416457302</v>
      </c>
      <c r="DJ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255.00000000000006</v>
      </c>
      <c r="DP90" s="17">
        <f>DO90*VLOOKUP('Données projet'!$B$14,Paramètres!$A$1:$I$89,3,0)*VLOOKUP('Données projet'!$B$14,Paramètres!$A$1:$I$89,5,0)</f>
        <v>186.96600000000004</v>
      </c>
      <c r="DQ90" s="13">
        <f t="shared" si="97"/>
        <v>46.868551400324648</v>
      </c>
      <c r="DR90" s="20">
        <f t="shared" si="70"/>
        <v>407.26184368889881</v>
      </c>
      <c r="DS90" s="57">
        <f t="shared" si="71"/>
        <v>700.59517702223206</v>
      </c>
      <c r="DT90" s="57">
        <f ca="1">AVERAGE(OFFSET($DS$3,0,0,'Données projet'!$E$14+1,1))-AVERAGE(OFFSET($H$3,0,0,'Données projet'!$E$14+1,1))</f>
        <v>239.25212250019609</v>
      </c>
      <c r="DU90" s="57">
        <f t="shared" si="98"/>
        <v>213.58492101729695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7.8</v>
      </c>
      <c r="EJ90" s="12">
        <f>IF('Données projet'!$A$192&gt;35,EJ89+EI90-ER89,IF(A90&lt;'Données projet'!$A$192,$EG$205^A90,IF(A90='Données projet'!$A$192,'Données projet'!$B$192,EJ89+EI90-ER89)))</f>
        <v>353.5999999999998</v>
      </c>
      <c r="EK90" s="17">
        <f>EJ90*VLOOKUP('Données projet'!$B$15,Paramètres!$A$1:$I$89,3,0)*VLOOKUP('Données projet'!$B$15,Paramètres!$A$1:$I$89,5,0)</f>
        <v>303.38879999999989</v>
      </c>
      <c r="EL90" s="13">
        <f t="shared" si="99"/>
        <v>71.88642102141435</v>
      </c>
      <c r="EM90" s="20">
        <f t="shared" si="73"/>
        <v>653.60434327896314</v>
      </c>
      <c r="EN90" s="57">
        <f t="shared" si="74"/>
        <v>946.9376766122964</v>
      </c>
      <c r="EO90" s="57">
        <f ca="1">AVERAGE(OFFSET($EN$3,0,0,'Données projet'!$E$15+1,1))-AVERAGE(OFFSET($H$3,0,0,'Données projet'!$E$15+1,1))</f>
        <v>447.10969593632467</v>
      </c>
      <c r="EP90" s="57">
        <f t="shared" si="100"/>
        <v>256.77417912163997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94.735279725950406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94.735279725950406</v>
      </c>
      <c r="EZ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7" t="e">
        <f t="shared" si="77"/>
        <v>#N/A</v>
      </c>
      <c r="FJ90" s="57" t="e">
        <f ca="1">AVERAGE(OFFSET($FI$3,0,0,'Données projet'!$E$16+1,1))-AVERAGE(OFFSET($H$3,0,0,'Données projet'!$E$16+1,1))</f>
        <v>#N/A</v>
      </c>
      <c r="FK90" s="57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7" t="e">
        <f t="shared" si="80"/>
        <v>#N/A</v>
      </c>
      <c r="GE90" s="57" t="e">
        <f ca="1">AVERAGE(OFFSET($GD$3,0,0,'Données projet'!$E$17+1,1))-AVERAGE(OFFSET($H$3,0,0,'Données projet'!$E$17+1,1))</f>
        <v>#N/A</v>
      </c>
      <c r="GF90" s="57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7" t="e">
        <f t="shared" si="83"/>
        <v>#N/A</v>
      </c>
      <c r="GZ90" s="57" t="e">
        <f ca="1">AVERAGE(OFFSET($GY$3,0,0,'Données projet'!$E$18+1,1))-AVERAGE(OFFSET($H$3,0,0,'Données projet'!$E$18+1,1))</f>
        <v>#N/A</v>
      </c>
      <c r="HA90" s="57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0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4">
        <f t="shared" si="56"/>
        <v>256.66666666666669</v>
      </c>
      <c r="I91" s="6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636.99999999999977</v>
      </c>
      <c r="O91" s="13">
        <f>N91*VLOOKUP('Données projet'!$B$9,Paramètres!$A$1:$I$89,3,0)*VLOOKUP('Données projet'!$B$9,Paramètres!$A$1:$I$89,5,0)</f>
        <v>356.08299999999991</v>
      </c>
      <c r="P91" s="13">
        <f t="shared" si="87"/>
        <v>82.813805255716545</v>
      </c>
      <c r="Q91" s="20">
        <f t="shared" si="54"/>
        <v>764.41193582037283</v>
      </c>
      <c r="R91" s="57">
        <f t="shared" si="55"/>
        <v>1057.7452691537062</v>
      </c>
      <c r="S91" s="57">
        <f ca="1">AVERAGE(OFFSET($R$3,0,0,'Données projet'!$E$9+1,1))-AVERAGE(OFFSET($H$3,0,0,'Données projet'!$E$9+1,1))</f>
        <v>443.34220761968419</v>
      </c>
      <c r="T91" s="57">
        <f t="shared" si="88"/>
        <v>546.58234447298014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56.13150159958785</v>
      </c>
      <c r="AA91" s="21">
        <f>EXP(-LN(2)/25)*AA90+(1-EXP(-LN(2)/25))/(LN(2)/25)*Calculateur!V91*Calculateur!X91*VLOOKUP('Données projet'!$B$9,Paramètres!$A$1:$I$89,3,0)*0.475*44/12</f>
        <v>4.3933283766725095</v>
      </c>
      <c r="AB91" s="21">
        <f>EXP(-LN(2)/2)*AB90+(1-EXP(-LN(2)/2))/(LN(2)/2)*V91*Y91*VLOOKUP('Données projet'!$B$9,Paramètres!$A$1:$I$89,3,0)*0.475*44/12</f>
        <v>1.1253723578051253E-8</v>
      </c>
      <c r="AC91" s="22">
        <f t="shared" si="57"/>
        <v>60.524829987514082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911.99999999999898</v>
      </c>
      <c r="AJ91" s="13">
        <f>AI91*VLOOKUP('Données projet'!$B$10,Paramètres!$A$1:$I$89,3,0)*VLOOKUP('Données projet'!$B$10,Paramètres!$A$1:$I$89,5,0)</f>
        <v>426.81599999999946</v>
      </c>
      <c r="AK91" s="13">
        <f t="shared" si="89"/>
        <v>97.192496986872399</v>
      </c>
      <c r="AL91" s="20">
        <f t="shared" si="58"/>
        <v>912.64813225213504</v>
      </c>
      <c r="AM91" s="57">
        <f t="shared" si="59"/>
        <v>1205.9814655854684</v>
      </c>
      <c r="AN91" s="57">
        <f ca="1">AVERAGE(OFFSET($AM$3,0,0,'Données projet'!$E$10+1,1))-AVERAGE(OFFSET($H$3,0,0,'Données projet'!$E$10+1,1))</f>
        <v>524.3999528951972</v>
      </c>
      <c r="AO91" s="57">
        <f t="shared" si="90"/>
        <v>459.3547783500515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126.8489182508892</v>
      </c>
      <c r="AV91" s="21">
        <f>EXP(-LN(2)/25)*AV90+(1-EXP(-LN(2)/25))/(LN(2)/25)*Calculateur!AQ91*Calculateur!AS91*VLOOKUP('Données projet'!$B$10,Paramètres!$A$1:$I$89,3,0)*0.475*44/12</f>
        <v>10.702437225694368</v>
      </c>
      <c r="AW91" s="21">
        <f>EXP(-LN(2)/2)*AW90+(1-EXP(-LN(2)/2))/(LN(2)/2)*AQ91*AT91*VLOOKUP('Données projet'!$B$10,Paramètres!$A$1:$I$89,3,0)*0.475*44/12</f>
        <v>2.2207211876201785E-9</v>
      </c>
      <c r="AX91" s="21">
        <f t="shared" si="60"/>
        <v>137.55135547880431</v>
      </c>
      <c r="AY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852.00000000000011</v>
      </c>
      <c r="BE91" s="13">
        <f>BD91*VLOOKUP('Données projet'!$B$11,Paramètres!$A$1:$I$89,3,0)*VLOOKUP('Données projet'!$B$11,Paramètres!$A$1:$I$89,5,0)</f>
        <v>409.81200000000013</v>
      </c>
      <c r="BF91" s="13">
        <f t="shared" si="91"/>
        <v>93.76308331402879</v>
      </c>
      <c r="BG91" s="20">
        <f t="shared" si="61"/>
        <v>877.05993677193362</v>
      </c>
      <c r="BH91" s="57">
        <f t="shared" si="62"/>
        <v>1170.393270105267</v>
      </c>
      <c r="BI91" s="57">
        <f ca="1">AVERAGE(OFFSET($BH$3,0,0,'Données projet'!$E$11+1,1))-AVERAGE(OFFSET($H$3,0,0,'Données projet'!$E$11+1,1))</f>
        <v>495.6473104257044</v>
      </c>
      <c r="BJ91" s="57">
        <f t="shared" si="92"/>
        <v>430.92527296485201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132.14547855072797</v>
      </c>
      <c r="BQ91" s="21">
        <f>EXP(-LN(2)/25)*BQ90+(1-EXP(-LN(2)/25))/(LN(2)/25)*Calculateur!BL91*Calculateur!BN91*VLOOKUP('Données projet'!$B$11,Paramètres!$A$1:$I$89,3,0)*0.475*44/12</f>
        <v>10.083083219577791</v>
      </c>
      <c r="BR91" s="21">
        <f>EXP(-LN(2)/2)*BR90+(1-EXP(-LN(2)/2))/(LN(2)/2)*BL91*BO91*VLOOKUP('Données projet'!$B$11,Paramètres!$A$1:$I$89,3,0)*0.475*44/12</f>
        <v>1.3631047104566761E-9</v>
      </c>
      <c r="BS91" s="22">
        <f t="shared" si="63"/>
        <v>142.22856177166886</v>
      </c>
      <c r="BT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7" t="e">
        <f t="shared" si="65"/>
        <v>#NUM!</v>
      </c>
      <c r="CD91" s="57">
        <f ca="1">AVERAGE(OFFSET($CC$3,0,0,'Données projet'!$E$12+1,1))-AVERAGE(OFFSET($H$3,0,0,'Données projet'!$E$12+1,1))</f>
        <v>187.80389738728508</v>
      </c>
      <c r="CE91" s="57">
        <f t="shared" si="94"/>
        <v>439.28159165815265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39.16083396654038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2.2987261226334301E-9</v>
      </c>
      <c r="CN91" s="22">
        <f t="shared" si="66"/>
        <v>39.160833968839107</v>
      </c>
      <c r="CO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5.4</v>
      </c>
      <c r="CT91" s="12">
        <f>IF('Données projet'!$A$140&gt;35,CT90+CS91-DB90,IF(A91&lt;'Données projet'!$A$140,$CQ$205^A91,IF(A91='Données projet'!$A$140,'Données projet'!$B$140,CT90+CS91-DB90)))</f>
        <v>264.19999999999987</v>
      </c>
      <c r="CU91" s="17">
        <f>CT91*VLOOKUP('Données projet'!$B$13,Paramètres!$A$1:$I$89,3,0)*VLOOKUP('Données projet'!$B$13,Paramètres!$A$1:$I$89,5,0)</f>
        <v>239.04815999999985</v>
      </c>
      <c r="CV91" s="13">
        <f t="shared" si="95"/>
        <v>58.234690128947292</v>
      </c>
      <c r="CW91" s="20">
        <f t="shared" si="67"/>
        <v>517.76763064124964</v>
      </c>
      <c r="CX91" s="57">
        <f t="shared" si="68"/>
        <v>811.10096397458301</v>
      </c>
      <c r="CY91" s="57">
        <f ca="1">AVERAGE(OFFSET($CX$3,0,0,'Données projet'!$E$13+1,1))-AVERAGE(OFFSET($H$3,0,0,'Données projet'!$E$13+1,1))</f>
        <v>364.3481978218424</v>
      </c>
      <c r="CZ91" s="57">
        <f t="shared" si="96"/>
        <v>231.36959598460686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59.901741185612913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59.901741185612913</v>
      </c>
      <c r="DJ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255.00000000000006</v>
      </c>
      <c r="DP91" s="17">
        <f>DO91*VLOOKUP('Données projet'!$B$14,Paramètres!$A$1:$I$89,3,0)*VLOOKUP('Données projet'!$B$14,Paramètres!$A$1:$I$89,5,0)</f>
        <v>186.96600000000004</v>
      </c>
      <c r="DQ91" s="13">
        <f t="shared" si="97"/>
        <v>46.868551400324648</v>
      </c>
      <c r="DR91" s="20">
        <f t="shared" si="70"/>
        <v>407.26184368889881</v>
      </c>
      <c r="DS91" s="57">
        <f t="shared" si="71"/>
        <v>700.59517702223206</v>
      </c>
      <c r="DT91" s="57">
        <f ca="1">AVERAGE(OFFSET($DS$3,0,0,'Données projet'!$E$14+1,1))-AVERAGE(OFFSET($H$3,0,0,'Données projet'!$E$14+1,1))</f>
        <v>239.25212250019609</v>
      </c>
      <c r="DU91" s="57">
        <f t="shared" si="98"/>
        <v>213.58492101729695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7.8</v>
      </c>
      <c r="EJ91" s="12">
        <f>IF('Données projet'!$A$192&gt;35,EJ90+EI91-ER90,IF(A91&lt;'Données projet'!$A$192,$EG$205^A91,IF(A91='Données projet'!$A$192,'Données projet'!$B$192,EJ90+EI91-ER90)))</f>
        <v>361.39999999999981</v>
      </c>
      <c r="EK91" s="17">
        <f>EJ91*VLOOKUP('Données projet'!$B$15,Paramètres!$A$1:$I$89,3,0)*VLOOKUP('Données projet'!$B$15,Paramètres!$A$1:$I$89,5,0)</f>
        <v>310.08119999999985</v>
      </c>
      <c r="EL91" s="13">
        <f t="shared" si="99"/>
        <v>73.285787705139427</v>
      </c>
      <c r="EM91" s="20">
        <f t="shared" si="73"/>
        <v>667.69750358645092</v>
      </c>
      <c r="EN91" s="57">
        <f t="shared" si="74"/>
        <v>961.03083691978418</v>
      </c>
      <c r="EO91" s="57">
        <f ca="1">AVERAGE(OFFSET($EN$3,0,0,'Données projet'!$E$15+1,1))-AVERAGE(OFFSET($H$3,0,0,'Données projet'!$E$15+1,1))</f>
        <v>447.10969593632467</v>
      </c>
      <c r="EP91" s="57">
        <f t="shared" si="100"/>
        <v>256.77417912163997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92.877578673339571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92.877578673339571</v>
      </c>
      <c r="EZ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7" t="e">
        <f t="shared" si="77"/>
        <v>#N/A</v>
      </c>
      <c r="FJ91" s="57" t="e">
        <f ca="1">AVERAGE(OFFSET($FI$3,0,0,'Données projet'!$E$16+1,1))-AVERAGE(OFFSET($H$3,0,0,'Données projet'!$E$16+1,1))</f>
        <v>#N/A</v>
      </c>
      <c r="FK91" s="57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7" t="e">
        <f t="shared" si="80"/>
        <v>#N/A</v>
      </c>
      <c r="GE91" s="57" t="e">
        <f ca="1">AVERAGE(OFFSET($GD$3,0,0,'Données projet'!$E$17+1,1))-AVERAGE(OFFSET($H$3,0,0,'Données projet'!$E$17+1,1))</f>
        <v>#N/A</v>
      </c>
      <c r="GF91" s="57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7" t="e">
        <f t="shared" si="83"/>
        <v>#N/A</v>
      </c>
      <c r="GZ91" s="57" t="e">
        <f ca="1">AVERAGE(OFFSET($GY$3,0,0,'Données projet'!$E$18+1,1))-AVERAGE(OFFSET($H$3,0,0,'Données projet'!$E$18+1,1))</f>
        <v>#N/A</v>
      </c>
      <c r="HA91" s="57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0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4">
        <f t="shared" si="56"/>
        <v>256.66666666666669</v>
      </c>
      <c r="I92" s="6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636.99999999999977</v>
      </c>
      <c r="O92" s="13">
        <f>N92*VLOOKUP('Données projet'!$B$9,Paramètres!$A$1:$I$89,3,0)*VLOOKUP('Données projet'!$B$9,Paramètres!$A$1:$I$89,5,0)</f>
        <v>356.08299999999991</v>
      </c>
      <c r="P92" s="13">
        <f t="shared" si="87"/>
        <v>82.813805255716545</v>
      </c>
      <c r="Q92" s="20">
        <f t="shared" si="54"/>
        <v>764.41193582037283</v>
      </c>
      <c r="R92" s="57">
        <f t="shared" si="55"/>
        <v>1057.7452691537062</v>
      </c>
      <c r="S92" s="57">
        <f ca="1">AVERAGE(OFFSET($R$3,0,0,'Données projet'!$E$9+1,1))-AVERAGE(OFFSET($H$3,0,0,'Données projet'!$E$9+1,1))</f>
        <v>443.34220761968419</v>
      </c>
      <c r="T92" s="57">
        <f t="shared" si="88"/>
        <v>546.58234447298014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55.030797090055302</v>
      </c>
      <c r="AA92" s="21">
        <f>EXP(-LN(2)/25)*AA91+(1-EXP(-LN(2)/25))/(LN(2)/25)*Calculateur!V92*Calculateur!X92*VLOOKUP('Données projet'!$B$9,Paramètres!$A$1:$I$89,3,0)*0.475*44/12</f>
        <v>4.2731925811773017</v>
      </c>
      <c r="AB92" s="21">
        <f>EXP(-LN(2)/2)*AB91+(1-EXP(-LN(2)/2))/(LN(2)/2)*V92*Y92*VLOOKUP('Données projet'!$B$9,Paramètres!$A$1:$I$89,3,0)*0.475*44/12</f>
        <v>7.9575842556389778E-9</v>
      </c>
      <c r="AC92" s="22">
        <f t="shared" si="57"/>
        <v>59.303989679190181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911.99999999999898</v>
      </c>
      <c r="AJ92" s="13">
        <f>AI92*VLOOKUP('Données projet'!$B$10,Paramètres!$A$1:$I$89,3,0)*VLOOKUP('Données projet'!$B$10,Paramètres!$A$1:$I$89,5,0)</f>
        <v>426.81599999999946</v>
      </c>
      <c r="AK92" s="13">
        <f t="shared" si="89"/>
        <v>97.192496986872399</v>
      </c>
      <c r="AL92" s="20">
        <f t="shared" si="58"/>
        <v>912.64813225213504</v>
      </c>
      <c r="AM92" s="57">
        <f t="shared" si="59"/>
        <v>1205.9814655854684</v>
      </c>
      <c r="AN92" s="57">
        <f ca="1">AVERAGE(OFFSET($AM$3,0,0,'Données projet'!$E$10+1,1))-AVERAGE(OFFSET($H$3,0,0,'Données projet'!$E$10+1,1))</f>
        <v>524.3999528951972</v>
      </c>
      <c r="AO92" s="57">
        <f t="shared" si="90"/>
        <v>459.3547783500515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124.36148833418972</v>
      </c>
      <c r="AV92" s="21">
        <f>EXP(-LN(2)/25)*AV91+(1-EXP(-LN(2)/25))/(LN(2)/25)*Calculateur!AQ92*Calculateur!AS92*VLOOKUP('Données projet'!$B$10,Paramètres!$A$1:$I$89,3,0)*0.475*44/12</f>
        <v>10.409778516941042</v>
      </c>
      <c r="AW92" s="21">
        <f>EXP(-LN(2)/2)*AW91+(1-EXP(-LN(2)/2))/(LN(2)/2)*AQ92*AT92*VLOOKUP('Données projet'!$B$10,Paramètres!$A$1:$I$89,3,0)*0.475*44/12</f>
        <v>1.5702870108908715E-9</v>
      </c>
      <c r="AX92" s="21">
        <f t="shared" si="60"/>
        <v>134.77126685270105</v>
      </c>
      <c r="AY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852.00000000000011</v>
      </c>
      <c r="BE92" s="13">
        <f>BD92*VLOOKUP('Données projet'!$B$11,Paramètres!$A$1:$I$89,3,0)*VLOOKUP('Données projet'!$B$11,Paramètres!$A$1:$I$89,5,0)</f>
        <v>409.81200000000013</v>
      </c>
      <c r="BF92" s="13">
        <f t="shared" si="91"/>
        <v>93.76308331402879</v>
      </c>
      <c r="BG92" s="20">
        <f t="shared" si="61"/>
        <v>877.05993677193362</v>
      </c>
      <c r="BH92" s="57">
        <f t="shared" si="62"/>
        <v>1170.393270105267</v>
      </c>
      <c r="BI92" s="57">
        <f ca="1">AVERAGE(OFFSET($BH$3,0,0,'Données projet'!$E$11+1,1))-AVERAGE(OFFSET($H$3,0,0,'Données projet'!$E$11+1,1))</f>
        <v>495.6473104257044</v>
      </c>
      <c r="BJ92" s="57">
        <f t="shared" si="92"/>
        <v>430.92527296485201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129.55418631713144</v>
      </c>
      <c r="BQ92" s="21">
        <f>EXP(-LN(2)/25)*BQ91+(1-EXP(-LN(2)/25))/(LN(2)/25)*Calculateur!BL92*Calculateur!BN92*VLOOKUP('Données projet'!$B$11,Paramètres!$A$1:$I$89,3,0)*0.475*44/12</f>
        <v>9.807360778692134</v>
      </c>
      <c r="BR92" s="21">
        <f>EXP(-LN(2)/2)*BR91+(1-EXP(-LN(2)/2))/(LN(2)/2)*BL92*BO92*VLOOKUP('Données projet'!$B$11,Paramètres!$A$1:$I$89,3,0)*0.475*44/12</f>
        <v>9.6386058423124113E-10</v>
      </c>
      <c r="BS92" s="22">
        <f t="shared" si="63"/>
        <v>139.36154709678743</v>
      </c>
      <c r="BT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7" t="e">
        <f t="shared" si="65"/>
        <v>#NUM!</v>
      </c>
      <c r="CD92" s="57">
        <f ca="1">AVERAGE(OFFSET($CC$3,0,0,'Données projet'!$E$12+1,1))-AVERAGE(OFFSET($H$3,0,0,'Données projet'!$E$12+1,1))</f>
        <v>187.80389738728508</v>
      </c>
      <c r="CE92" s="57">
        <f t="shared" si="94"/>
        <v>439.28159165815265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38.392913898206722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1.6254448294047577E-9</v>
      </c>
      <c r="CN92" s="22">
        <f t="shared" si="66"/>
        <v>38.392913899832166</v>
      </c>
      <c r="CO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5.4</v>
      </c>
      <c r="CT92" s="12">
        <f>IF('Données projet'!$A$140&gt;35,CT91+CS92-DB91,IF(A92&lt;'Données projet'!$A$140,$CQ$205^A92,IF(A92='Données projet'!$A$140,'Données projet'!$B$140,CT91+CS92-DB91)))</f>
        <v>269.59999999999985</v>
      </c>
      <c r="CU92" s="17">
        <f>CT92*VLOOKUP('Données projet'!$B$13,Paramètres!$A$1:$I$89,3,0)*VLOOKUP('Données projet'!$B$13,Paramètres!$A$1:$I$89,5,0)</f>
        <v>243.93407999999988</v>
      </c>
      <c r="CV92" s="13">
        <f t="shared" si="95"/>
        <v>59.285164329617594</v>
      </c>
      <c r="CW92" s="20">
        <f t="shared" si="67"/>
        <v>528.10685054075043</v>
      </c>
      <c r="CX92" s="57">
        <f t="shared" si="68"/>
        <v>821.44018387408369</v>
      </c>
      <c r="CY92" s="57">
        <f ca="1">AVERAGE(OFFSET($CX$3,0,0,'Données projet'!$E$13+1,1))-AVERAGE(OFFSET($H$3,0,0,'Données projet'!$E$13+1,1))</f>
        <v>364.3481978218424</v>
      </c>
      <c r="CZ92" s="57">
        <f t="shared" si="96"/>
        <v>231.36959598460686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58.727104577417492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58.727104577417492</v>
      </c>
      <c r="DJ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255.00000000000006</v>
      </c>
      <c r="DP92" s="17">
        <f>DO92*VLOOKUP('Données projet'!$B$14,Paramètres!$A$1:$I$89,3,0)*VLOOKUP('Données projet'!$B$14,Paramètres!$A$1:$I$89,5,0)</f>
        <v>186.96600000000004</v>
      </c>
      <c r="DQ92" s="13">
        <f t="shared" si="97"/>
        <v>46.868551400324648</v>
      </c>
      <c r="DR92" s="20">
        <f t="shared" si="70"/>
        <v>407.26184368889881</v>
      </c>
      <c r="DS92" s="57">
        <f t="shared" si="71"/>
        <v>700.59517702223206</v>
      </c>
      <c r="DT92" s="57">
        <f ca="1">AVERAGE(OFFSET($DS$3,0,0,'Données projet'!$E$14+1,1))-AVERAGE(OFFSET($H$3,0,0,'Données projet'!$E$14+1,1))</f>
        <v>239.25212250019609</v>
      </c>
      <c r="DU92" s="57">
        <f t="shared" si="98"/>
        <v>213.58492101729695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7.8</v>
      </c>
      <c r="EJ92" s="12">
        <f>IF('Données projet'!$A$192&gt;35,EJ91+EI92-ER91,IF(A92&lt;'Données projet'!$A$192,$EG$205^A92,IF(A92='Données projet'!$A$192,'Données projet'!$B$192,EJ91+EI92-ER91)))</f>
        <v>369.19999999999982</v>
      </c>
      <c r="EK92" s="17">
        <f>EJ92*VLOOKUP('Données projet'!$B$15,Paramètres!$A$1:$I$89,3,0)*VLOOKUP('Données projet'!$B$15,Paramètres!$A$1:$I$89,5,0)</f>
        <v>316.77359999999987</v>
      </c>
      <c r="EL92" s="13">
        <f t="shared" si="99"/>
        <v>74.681642981668006</v>
      </c>
      <c r="EM92" s="20">
        <f t="shared" si="73"/>
        <v>681.78454819307149</v>
      </c>
      <c r="EN92" s="57">
        <f t="shared" si="74"/>
        <v>975.11788152640474</v>
      </c>
      <c r="EO92" s="57">
        <f ca="1">AVERAGE(OFFSET($EN$3,0,0,'Données projet'!$E$15+1,1))-AVERAGE(OFFSET($H$3,0,0,'Données projet'!$E$15+1,1))</f>
        <v>447.10969593632467</v>
      </c>
      <c r="EP92" s="57">
        <f t="shared" si="100"/>
        <v>256.77417912163997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91.056306005284682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91.056306005284682</v>
      </c>
      <c r="EZ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7" t="e">
        <f t="shared" si="77"/>
        <v>#N/A</v>
      </c>
      <c r="FJ92" s="57" t="e">
        <f ca="1">AVERAGE(OFFSET($FI$3,0,0,'Données projet'!$E$16+1,1))-AVERAGE(OFFSET($H$3,0,0,'Données projet'!$E$16+1,1))</f>
        <v>#N/A</v>
      </c>
      <c r="FK92" s="57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7" t="e">
        <f t="shared" si="80"/>
        <v>#N/A</v>
      </c>
      <c r="GE92" s="57" t="e">
        <f ca="1">AVERAGE(OFFSET($GD$3,0,0,'Données projet'!$E$17+1,1))-AVERAGE(OFFSET($H$3,0,0,'Données projet'!$E$17+1,1))</f>
        <v>#N/A</v>
      </c>
      <c r="GF92" s="57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7" t="e">
        <f t="shared" si="83"/>
        <v>#N/A</v>
      </c>
      <c r="GZ92" s="57" t="e">
        <f ca="1">AVERAGE(OFFSET($GY$3,0,0,'Données projet'!$E$18+1,1))-AVERAGE(OFFSET($H$3,0,0,'Données projet'!$E$18+1,1))</f>
        <v>#N/A</v>
      </c>
      <c r="HA92" s="57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0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4">
        <f t="shared" si="56"/>
        <v>256.66666666666669</v>
      </c>
      <c r="I93" s="6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636.99999999999977</v>
      </c>
      <c r="O93" s="13">
        <f>N93*VLOOKUP('Données projet'!$B$9,Paramètres!$A$1:$I$89,3,0)*VLOOKUP('Données projet'!$B$9,Paramètres!$A$1:$I$89,5,0)</f>
        <v>356.08299999999991</v>
      </c>
      <c r="P93" s="13">
        <f t="shared" si="87"/>
        <v>82.813805255716545</v>
      </c>
      <c r="Q93" s="20">
        <f t="shared" si="54"/>
        <v>764.41193582037283</v>
      </c>
      <c r="R93" s="57">
        <f t="shared" si="55"/>
        <v>1057.7452691537062</v>
      </c>
      <c r="S93" s="57">
        <f ca="1">AVERAGE(OFFSET($R$3,0,0,'Données projet'!$E$9+1,1))-AVERAGE(OFFSET($H$3,0,0,'Données projet'!$E$9+1,1))</f>
        <v>443.34220761968419</v>
      </c>
      <c r="T93" s="57">
        <f t="shared" si="88"/>
        <v>546.58234447298014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53.951676724591231</v>
      </c>
      <c r="AA93" s="21">
        <f>EXP(-LN(2)/25)*AA92+(1-EXP(-LN(2)/25))/(LN(2)/25)*Calculateur!V93*Calculateur!X93*VLOOKUP('Données projet'!$B$9,Paramètres!$A$1:$I$89,3,0)*0.475*44/12</f>
        <v>4.1563419053275767</v>
      </c>
      <c r="AB93" s="21">
        <f>EXP(-LN(2)/2)*AB92+(1-EXP(-LN(2)/2))/(LN(2)/2)*V93*Y93*VLOOKUP('Données projet'!$B$9,Paramètres!$A$1:$I$89,3,0)*0.475*44/12</f>
        <v>5.6268617890256264E-9</v>
      </c>
      <c r="AC93" s="22">
        <f t="shared" si="57"/>
        <v>58.108018635545669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911.99999999999898</v>
      </c>
      <c r="AJ93" s="13">
        <f>AI93*VLOOKUP('Données projet'!$B$10,Paramètres!$A$1:$I$89,3,0)*VLOOKUP('Données projet'!$B$10,Paramètres!$A$1:$I$89,5,0)</f>
        <v>426.81599999999946</v>
      </c>
      <c r="AK93" s="13">
        <f t="shared" si="89"/>
        <v>97.192496986872399</v>
      </c>
      <c r="AL93" s="20">
        <f t="shared" si="58"/>
        <v>912.64813225213504</v>
      </c>
      <c r="AM93" s="57">
        <f t="shared" si="59"/>
        <v>1205.9814655854684</v>
      </c>
      <c r="AN93" s="57">
        <f ca="1">AVERAGE(OFFSET($AM$3,0,0,'Données projet'!$E$10+1,1))-AVERAGE(OFFSET($H$3,0,0,'Données projet'!$E$10+1,1))</f>
        <v>524.3999528951972</v>
      </c>
      <c r="AO93" s="57">
        <f t="shared" si="90"/>
        <v>459.3547783500515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121.92283540097428</v>
      </c>
      <c r="AV93" s="21">
        <f>EXP(-LN(2)/25)*AV92+(1-EXP(-LN(2)/25))/(LN(2)/25)*Calculateur!AQ93*Calculateur!AS93*VLOOKUP('Données projet'!$B$10,Paramètres!$A$1:$I$89,3,0)*0.475*44/12</f>
        <v>10.125122575968829</v>
      </c>
      <c r="AW93" s="21">
        <f>EXP(-LN(2)/2)*AW92+(1-EXP(-LN(2)/2))/(LN(2)/2)*AQ93*AT93*VLOOKUP('Données projet'!$B$10,Paramètres!$A$1:$I$89,3,0)*0.475*44/12</f>
        <v>1.1103605938100893E-9</v>
      </c>
      <c r="AX93" s="21">
        <f t="shared" si="60"/>
        <v>132.04795797805346</v>
      </c>
      <c r="AY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852.00000000000011</v>
      </c>
      <c r="BE93" s="13">
        <f>BD93*VLOOKUP('Données projet'!$B$11,Paramètres!$A$1:$I$89,3,0)*VLOOKUP('Données projet'!$B$11,Paramètres!$A$1:$I$89,5,0)</f>
        <v>409.81200000000013</v>
      </c>
      <c r="BF93" s="13">
        <f t="shared" si="91"/>
        <v>93.76308331402879</v>
      </c>
      <c r="BG93" s="20">
        <f t="shared" si="61"/>
        <v>877.05993677193362</v>
      </c>
      <c r="BH93" s="57">
        <f t="shared" si="62"/>
        <v>1170.393270105267</v>
      </c>
      <c r="BI93" s="57">
        <f ca="1">AVERAGE(OFFSET($BH$3,0,0,'Données projet'!$E$11+1,1))-AVERAGE(OFFSET($H$3,0,0,'Données projet'!$E$11+1,1))</f>
        <v>495.6473104257044</v>
      </c>
      <c r="BJ93" s="57">
        <f t="shared" si="92"/>
        <v>430.92527296485201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127.01370774370355</v>
      </c>
      <c r="BQ93" s="21">
        <f>EXP(-LN(2)/25)*BQ92+(1-EXP(-LN(2)/25))/(LN(2)/25)*Calculateur!BL93*Calculateur!BN93*VLOOKUP('Données projet'!$B$11,Paramètres!$A$1:$I$89,3,0)*0.475*44/12</f>
        <v>9.5391779824521095</v>
      </c>
      <c r="BR93" s="21">
        <f>EXP(-LN(2)/2)*BR92+(1-EXP(-LN(2)/2))/(LN(2)/2)*BL93*BO93*VLOOKUP('Données projet'!$B$11,Paramètres!$A$1:$I$89,3,0)*0.475*44/12</f>
        <v>6.8155235522833807E-10</v>
      </c>
      <c r="BS93" s="22">
        <f t="shared" si="63"/>
        <v>136.55288572683722</v>
      </c>
      <c r="BT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7" t="e">
        <f t="shared" si="65"/>
        <v>#NUM!</v>
      </c>
      <c r="CD93" s="57">
        <f ca="1">AVERAGE(OFFSET($CC$3,0,0,'Données projet'!$E$12+1,1))-AVERAGE(OFFSET($H$3,0,0,'Données projet'!$E$12+1,1))</f>
        <v>187.80389738728508</v>
      </c>
      <c r="CE93" s="57">
        <f t="shared" si="94"/>
        <v>439.28159165815265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37.640052274028093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1.149363061316715E-9</v>
      </c>
      <c r="CN93" s="22">
        <f t="shared" si="66"/>
        <v>37.640052275177453</v>
      </c>
      <c r="CO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275</v>
      </c>
      <c r="CR93" s="12">
        <f>VLOOKUP(A93,'Données projet'!$A$139:$I$159,9,0)</f>
        <v>5.4</v>
      </c>
      <c r="CS93" s="12">
        <f t="array" ref="CS93">INDEX(CR:CR,MIN(IF(ISNUMBER(CR93:CR289),ROW(CR93:CR289),"")))</f>
        <v>5.4</v>
      </c>
      <c r="CT93" s="12">
        <f>IF('Données projet'!$A$140&gt;35,CT92+CS93-DB92,IF(A93&lt;'Données projet'!$A$140,$CQ$205^A93,IF(A93='Données projet'!$A$140,'Données projet'!$B$140,CT92+CS93-DB92)))</f>
        <v>274.99999999999983</v>
      </c>
      <c r="CU93" s="17">
        <f>CT93*VLOOKUP('Données projet'!$B$13,Paramètres!$A$1:$I$89,3,0)*VLOOKUP('Données projet'!$B$13,Paramètres!$A$1:$I$89,5,0)</f>
        <v>248.81999999999982</v>
      </c>
      <c r="CV93" s="13">
        <f t="shared" si="95"/>
        <v>60.333192077890018</v>
      </c>
      <c r="CW93" s="20">
        <f t="shared" si="67"/>
        <v>538.44180953565808</v>
      </c>
      <c r="CX93" s="57">
        <f t="shared" si="68"/>
        <v>831.77514286899145</v>
      </c>
      <c r="CY93" s="57">
        <f ca="1">AVERAGE(OFFSET($CX$3,0,0,'Données projet'!$E$13+1,1))-AVERAGE(OFFSET($H$3,0,0,'Données projet'!$E$13+1,1))</f>
        <v>364.3481978218424</v>
      </c>
      <c r="CZ93" s="57">
        <f t="shared" si="96"/>
        <v>231.36959598460686</v>
      </c>
      <c r="DA93" s="15">
        <f>IF(ISNA(VLOOKUP(A93,'Données projet'!$A$139:$I$159,3,0)),0,VLOOKUP(A93,'Données projet'!$A$139:$I$159,3,0))</f>
        <v>14</v>
      </c>
      <c r="DB93" s="15">
        <f>IF(ISNA(VLOOKUP(A93,'Données projet'!$A$139:$I$159,4,0)),0,VLOOKUP(A93,'Données projet'!$A$139:$I$159,4,0))</f>
        <v>21</v>
      </c>
      <c r="DC93" s="16">
        <f>IF(ISNA(VLOOKUP(A93,'Données projet'!$A$139:$I$159,5,0)),0%,VLOOKUP(A93,'Données projet'!$A$139:$I$159,5,0)*VLOOKUP('Données projet'!$B$13,Paramètres!$A$1:$I$89,7,0))</f>
        <v>0.43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66.607575159245954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66.607575159245954</v>
      </c>
      <c r="DJ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255.00000000000006</v>
      </c>
      <c r="DP93" s="17">
        <f>DO93*VLOOKUP('Données projet'!$B$14,Paramètres!$A$1:$I$89,3,0)*VLOOKUP('Données projet'!$B$14,Paramètres!$A$1:$I$89,5,0)</f>
        <v>186.96600000000004</v>
      </c>
      <c r="DQ93" s="13">
        <f t="shared" si="97"/>
        <v>46.868551400324648</v>
      </c>
      <c r="DR93" s="20">
        <f t="shared" si="70"/>
        <v>407.26184368889881</v>
      </c>
      <c r="DS93" s="57">
        <f t="shared" si="71"/>
        <v>700.59517702223206</v>
      </c>
      <c r="DT93" s="57">
        <f ca="1">AVERAGE(OFFSET($DS$3,0,0,'Données projet'!$E$14+1,1))-AVERAGE(OFFSET($H$3,0,0,'Données projet'!$E$14+1,1))</f>
        <v>239.25212250019609</v>
      </c>
      <c r="DU93" s="57">
        <f t="shared" si="98"/>
        <v>213.58492101729695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377</v>
      </c>
      <c r="EH93" s="12">
        <f>VLOOKUP(A93,'Données projet'!$A$191:$I$211,9,0)</f>
        <v>7.8</v>
      </c>
      <c r="EI93" s="12">
        <f t="array" ref="EI93">INDEX(EH:EH,MIN(IF(ISNUMBER(EH93:EH289),ROW(EH93:EH289),"")))</f>
        <v>7.8</v>
      </c>
      <c r="EJ93" s="12">
        <f>IF('Données projet'!$A$192&gt;35,EJ92+EI93-ER92,IF(A93&lt;'Données projet'!$A$192,$EG$205^A93,IF(A93='Données projet'!$A$192,'Données projet'!$B$192,EJ92+EI93-ER92)))</f>
        <v>376.99999999999983</v>
      </c>
      <c r="EK93" s="17">
        <f>EJ93*VLOOKUP('Données projet'!$B$15,Paramètres!$A$1:$I$89,3,0)*VLOOKUP('Données projet'!$B$15,Paramètres!$A$1:$I$89,5,0)</f>
        <v>323.46599999999989</v>
      </c>
      <c r="EL93" s="13">
        <f t="shared" si="99"/>
        <v>76.074069581431147</v>
      </c>
      <c r="EM93" s="20">
        <f t="shared" si="73"/>
        <v>695.86562118765903</v>
      </c>
      <c r="EN93" s="57">
        <f t="shared" si="74"/>
        <v>989.1989545209924</v>
      </c>
      <c r="EO93" s="57">
        <f ca="1">AVERAGE(OFFSET($EN$3,0,0,'Données projet'!$E$15+1,1))-AVERAGE(OFFSET($H$3,0,0,'Données projet'!$E$15+1,1))</f>
        <v>447.10969593632467</v>
      </c>
      <c r="EP93" s="57">
        <f t="shared" si="100"/>
        <v>256.77417912163997</v>
      </c>
      <c r="EQ93" s="15">
        <f>IF(ISNA(VLOOKUP(A93,'Données projet'!$A$191:$I$211,3,0)),0,VLOOKUP(A93,'Données projet'!$A$191:$I$211,3,0))</f>
        <v>14</v>
      </c>
      <c r="ER93" s="15">
        <f>IF(ISNA(VLOOKUP(A93,'Données projet'!$A$191:$I$211,4,0)),0,VLOOKUP(A93,'Données projet'!$A$191:$I$211,4,0))</f>
        <v>26</v>
      </c>
      <c r="ES93" s="16">
        <f>IF(ISNA(VLOOKUP(A93,'Données projet'!$A$191:$I$211,5,0)),0%,VLOOKUP(A93,'Données projet'!$A$191:$I$211,5,0)*VLOOKUP('Données projet'!$B$15,Paramètres!$A$1:$I$89,7,0))</f>
        <v>0.53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102.34098899349287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102.34098899349287</v>
      </c>
      <c r="EZ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7" t="e">
        <f t="shared" si="77"/>
        <v>#N/A</v>
      </c>
      <c r="FJ93" s="57" t="e">
        <f ca="1">AVERAGE(OFFSET($FI$3,0,0,'Données projet'!$E$16+1,1))-AVERAGE(OFFSET($H$3,0,0,'Données projet'!$E$16+1,1))</f>
        <v>#N/A</v>
      </c>
      <c r="FK93" s="57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7" t="e">
        <f t="shared" si="80"/>
        <v>#N/A</v>
      </c>
      <c r="GE93" s="57" t="e">
        <f ca="1">AVERAGE(OFFSET($GD$3,0,0,'Données projet'!$E$17+1,1))-AVERAGE(OFFSET($H$3,0,0,'Données projet'!$E$17+1,1))</f>
        <v>#N/A</v>
      </c>
      <c r="GF93" s="57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7" t="e">
        <f t="shared" si="83"/>
        <v>#N/A</v>
      </c>
      <c r="GZ93" s="57" t="e">
        <f ca="1">AVERAGE(OFFSET($GY$3,0,0,'Données projet'!$E$18+1,1))-AVERAGE(OFFSET($H$3,0,0,'Données projet'!$E$18+1,1))</f>
        <v>#N/A</v>
      </c>
      <c r="HA93" s="57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0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4">
        <f t="shared" si="56"/>
        <v>256.66666666666669</v>
      </c>
      <c r="I94" s="6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636.99999999999977</v>
      </c>
      <c r="O94" s="13">
        <f>N94*VLOOKUP('Données projet'!$B$9,Paramètres!$A$1:$I$89,3,0)*VLOOKUP('Données projet'!$B$9,Paramètres!$A$1:$I$89,5,0)</f>
        <v>356.08299999999991</v>
      </c>
      <c r="P94" s="13">
        <f t="shared" si="87"/>
        <v>82.813805255716545</v>
      </c>
      <c r="Q94" s="20">
        <f t="shared" si="54"/>
        <v>764.41193582037283</v>
      </c>
      <c r="R94" s="57">
        <f t="shared" si="55"/>
        <v>1057.7452691537062</v>
      </c>
      <c r="S94" s="57">
        <f ca="1">AVERAGE(OFFSET($R$3,0,0,'Données projet'!$E$9+1,1))-AVERAGE(OFFSET($H$3,0,0,'Données projet'!$E$9+1,1))</f>
        <v>443.34220761968419</v>
      </c>
      <c r="T94" s="57">
        <f t="shared" si="88"/>
        <v>546.58234447298014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52.893717251295477</v>
      </c>
      <c r="AA94" s="21">
        <f>EXP(-LN(2)/25)*AA93+(1-EXP(-LN(2)/25))/(LN(2)/25)*Calculateur!V94*Calculateur!X94*VLOOKUP('Données projet'!$B$9,Paramètres!$A$1:$I$89,3,0)*0.475*44/12</f>
        <v>4.0426865173538724</v>
      </c>
      <c r="AB94" s="21">
        <f>EXP(-LN(2)/2)*AB93+(1-EXP(-LN(2)/2))/(LN(2)/2)*V94*Y94*VLOOKUP('Données projet'!$B$9,Paramètres!$A$1:$I$89,3,0)*0.475*44/12</f>
        <v>3.9787921278194889E-9</v>
      </c>
      <c r="AC94" s="22">
        <f t="shared" si="57"/>
        <v>56.93640377262814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911.99999999999898</v>
      </c>
      <c r="AJ94" s="13">
        <f>AI94*VLOOKUP('Données projet'!$B$10,Paramètres!$A$1:$I$89,3,0)*VLOOKUP('Données projet'!$B$10,Paramètres!$A$1:$I$89,5,0)</f>
        <v>426.81599999999946</v>
      </c>
      <c r="AK94" s="13">
        <f t="shared" si="89"/>
        <v>97.192496986872399</v>
      </c>
      <c r="AL94" s="20">
        <f t="shared" si="58"/>
        <v>912.64813225213504</v>
      </c>
      <c r="AM94" s="57">
        <f t="shared" si="59"/>
        <v>1205.9814655854684</v>
      </c>
      <c r="AN94" s="57">
        <f ca="1">AVERAGE(OFFSET($AM$3,0,0,'Données projet'!$E$10+1,1))-AVERAGE(OFFSET($H$3,0,0,'Données projet'!$E$10+1,1))</f>
        <v>524.3999528951972</v>
      </c>
      <c r="AO94" s="57">
        <f t="shared" si="90"/>
        <v>459.3547783500515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119.53200296434778</v>
      </c>
      <c r="AV94" s="21">
        <f>EXP(-LN(2)/25)*AV93+(1-EXP(-LN(2)/25))/(LN(2)/25)*Calculateur!AQ94*Calculateur!AS94*VLOOKUP('Données projet'!$B$10,Paramètres!$A$1:$I$89,3,0)*0.475*44/12</f>
        <v>9.848250566671906</v>
      </c>
      <c r="AW94" s="21">
        <f>EXP(-LN(2)/2)*AW93+(1-EXP(-LN(2)/2))/(LN(2)/2)*AQ94*AT94*VLOOKUP('Données projet'!$B$10,Paramètres!$A$1:$I$89,3,0)*0.475*44/12</f>
        <v>7.8514350544543577E-10</v>
      </c>
      <c r="AX94" s="21">
        <f t="shared" si="60"/>
        <v>129.38025353180484</v>
      </c>
      <c r="AY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852.00000000000011</v>
      </c>
      <c r="BE94" s="13">
        <f>BD94*VLOOKUP('Données projet'!$B$11,Paramètres!$A$1:$I$89,3,0)*VLOOKUP('Données projet'!$B$11,Paramètres!$A$1:$I$89,5,0)</f>
        <v>409.81200000000013</v>
      </c>
      <c r="BF94" s="13">
        <f t="shared" si="91"/>
        <v>93.76308331402879</v>
      </c>
      <c r="BG94" s="20">
        <f t="shared" si="61"/>
        <v>877.05993677193362</v>
      </c>
      <c r="BH94" s="57">
        <f t="shared" si="62"/>
        <v>1170.393270105267</v>
      </c>
      <c r="BI94" s="57">
        <f ca="1">AVERAGE(OFFSET($BH$3,0,0,'Données projet'!$E$11+1,1))-AVERAGE(OFFSET($H$3,0,0,'Données projet'!$E$11+1,1))</f>
        <v>495.6473104257044</v>
      </c>
      <c r="BJ94" s="57">
        <f t="shared" si="92"/>
        <v>430.92527296485201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124.52304640556164</v>
      </c>
      <c r="BQ94" s="21">
        <f>EXP(-LN(2)/25)*BQ93+(1-EXP(-LN(2)/25))/(LN(2)/25)*Calculateur!BL94*Calculateur!BN94*VLOOKUP('Données projet'!$B$11,Paramètres!$A$1:$I$89,3,0)*0.475*44/12</f>
        <v>9.2783286588783884</v>
      </c>
      <c r="BR94" s="21">
        <f>EXP(-LN(2)/2)*BR93+(1-EXP(-LN(2)/2))/(LN(2)/2)*BL94*BO94*VLOOKUP('Données projet'!$B$11,Paramètres!$A$1:$I$89,3,0)*0.475*44/12</f>
        <v>4.8193029211562056E-10</v>
      </c>
      <c r="BS94" s="22">
        <f t="shared" si="63"/>
        <v>133.80137506492196</v>
      </c>
      <c r="BT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7" t="e">
        <f t="shared" si="65"/>
        <v>#NUM!</v>
      </c>
      <c r="CD94" s="57">
        <f ca="1">AVERAGE(OFFSET($CC$3,0,0,'Données projet'!$E$12+1,1))-AVERAGE(OFFSET($H$3,0,0,'Données projet'!$E$12+1,1))</f>
        <v>187.80389738728508</v>
      </c>
      <c r="CE94" s="57">
        <f t="shared" si="94"/>
        <v>439.28159165815265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36.90195380709936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8.1272241470237883E-10</v>
      </c>
      <c r="CN94" s="22">
        <f t="shared" si="66"/>
        <v>36.901953807912086</v>
      </c>
      <c r="CO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</v>
      </c>
      <c r="CT94" s="12">
        <f>IF('Données projet'!$A$140&gt;35,CT93+CS94-DB93,IF(A94&lt;'Données projet'!$A$140,$CQ$205^A94,IF(A94='Données projet'!$A$140,'Données projet'!$B$140,CT93+CS94-DB93)))</f>
        <v>258.99999999999983</v>
      </c>
      <c r="CU94" s="17">
        <f>CT94*VLOOKUP('Données projet'!$B$13,Paramètres!$A$1:$I$89,3,0)*VLOOKUP('Données projet'!$B$13,Paramètres!$A$1:$I$89,5,0)</f>
        <v>234.34319999999983</v>
      </c>
      <c r="CV94" s="13">
        <f t="shared" si="95"/>
        <v>57.220758006491614</v>
      </c>
      <c r="CW94" s="20">
        <f t="shared" si="67"/>
        <v>507.80722686130588</v>
      </c>
      <c r="CX94" s="57">
        <f t="shared" si="68"/>
        <v>801.14056019463919</v>
      </c>
      <c r="CY94" s="57">
        <f ca="1">AVERAGE(OFFSET($CX$3,0,0,'Données projet'!$E$13+1,1))-AVERAGE(OFFSET($H$3,0,0,'Données projet'!$E$13+1,1))</f>
        <v>364.3481978218424</v>
      </c>
      <c r="CZ94" s="57">
        <f t="shared" si="96"/>
        <v>231.36959598460686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65.301441236982441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65.301441236982441</v>
      </c>
      <c r="DJ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255.00000000000006</v>
      </c>
      <c r="DP94" s="17">
        <f>DO94*VLOOKUP('Données projet'!$B$14,Paramètres!$A$1:$I$89,3,0)*VLOOKUP('Données projet'!$B$14,Paramètres!$A$1:$I$89,5,0)</f>
        <v>186.96600000000004</v>
      </c>
      <c r="DQ94" s="13">
        <f t="shared" si="97"/>
        <v>46.868551400324648</v>
      </c>
      <c r="DR94" s="20">
        <f t="shared" si="70"/>
        <v>407.26184368889881</v>
      </c>
      <c r="DS94" s="57">
        <f t="shared" si="71"/>
        <v>700.59517702223206</v>
      </c>
      <c r="DT94" s="57">
        <f ca="1">AVERAGE(OFFSET($DS$3,0,0,'Données projet'!$E$14+1,1))-AVERAGE(OFFSET($H$3,0,0,'Données projet'!$E$14+1,1))</f>
        <v>239.25212250019609</v>
      </c>
      <c r="DU94" s="57">
        <f t="shared" si="98"/>
        <v>213.58492101729695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7.6</v>
      </c>
      <c r="EJ94" s="12">
        <f>IF('Données projet'!$A$192&gt;35,EJ93+EI94-ER93,IF(A94&lt;'Données projet'!$A$192,$EG$205^A94,IF(A94='Données projet'!$A$192,'Données projet'!$B$192,EJ93+EI94-ER93)))</f>
        <v>358.59999999999985</v>
      </c>
      <c r="EK94" s="17">
        <f>EJ94*VLOOKUP('Données projet'!$B$15,Paramètres!$A$1:$I$89,3,0)*VLOOKUP('Données projet'!$B$15,Paramètres!$A$1:$I$89,5,0)</f>
        <v>307.67879999999991</v>
      </c>
      <c r="EL94" s="13">
        <f t="shared" si="99"/>
        <v>72.783859383050768</v>
      </c>
      <c r="EM94" s="20">
        <f t="shared" si="73"/>
        <v>662.63913175881328</v>
      </c>
      <c r="EN94" s="57">
        <f t="shared" si="74"/>
        <v>955.97246509214665</v>
      </c>
      <c r="EO94" s="57">
        <f ca="1">AVERAGE(OFFSET($EN$3,0,0,'Données projet'!$E$15+1,1))-AVERAGE(OFFSET($H$3,0,0,'Données projet'!$E$15+1,1))</f>
        <v>447.10969593632467</v>
      </c>
      <c r="EP94" s="57">
        <f t="shared" si="100"/>
        <v>256.77417912163997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100.33414462117011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100.33414462117011</v>
      </c>
      <c r="EZ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7" t="e">
        <f t="shared" si="77"/>
        <v>#N/A</v>
      </c>
      <c r="FJ94" s="57" t="e">
        <f ca="1">AVERAGE(OFFSET($FI$3,0,0,'Données projet'!$E$16+1,1))-AVERAGE(OFFSET($H$3,0,0,'Données projet'!$E$16+1,1))</f>
        <v>#N/A</v>
      </c>
      <c r="FK94" s="57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7" t="e">
        <f t="shared" si="80"/>
        <v>#N/A</v>
      </c>
      <c r="GE94" s="57" t="e">
        <f ca="1">AVERAGE(OFFSET($GD$3,0,0,'Données projet'!$E$17+1,1))-AVERAGE(OFFSET($H$3,0,0,'Données projet'!$E$17+1,1))</f>
        <v>#N/A</v>
      </c>
      <c r="GF94" s="57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7" t="e">
        <f t="shared" si="83"/>
        <v>#N/A</v>
      </c>
      <c r="GZ94" s="57" t="e">
        <f ca="1">AVERAGE(OFFSET($GY$3,0,0,'Données projet'!$E$18+1,1))-AVERAGE(OFFSET($H$3,0,0,'Données projet'!$E$18+1,1))</f>
        <v>#N/A</v>
      </c>
      <c r="HA94" s="57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0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4">
        <f t="shared" si="56"/>
        <v>256.66666666666669</v>
      </c>
      <c r="I95" s="6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636.99999999999977</v>
      </c>
      <c r="O95" s="13">
        <f>N95*VLOOKUP('Données projet'!$B$9,Paramètres!$A$1:$I$89,3,0)*VLOOKUP('Données projet'!$B$9,Paramètres!$A$1:$I$89,5,0)</f>
        <v>356.08299999999991</v>
      </c>
      <c r="P95" s="13">
        <f t="shared" si="87"/>
        <v>82.813805255716545</v>
      </c>
      <c r="Q95" s="20">
        <f t="shared" si="54"/>
        <v>764.41193582037283</v>
      </c>
      <c r="R95" s="57">
        <f t="shared" si="55"/>
        <v>1057.7452691537062</v>
      </c>
      <c r="S95" s="57">
        <f ca="1">AVERAGE(OFFSET($R$3,0,0,'Données projet'!$E$9+1,1))-AVERAGE(OFFSET($H$3,0,0,'Données projet'!$E$9+1,1))</f>
        <v>443.34220761968419</v>
      </c>
      <c r="T95" s="57">
        <f t="shared" si="88"/>
        <v>546.58234447298014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51.856503717979493</v>
      </c>
      <c r="AA95" s="21">
        <f>EXP(-LN(2)/25)*AA94+(1-EXP(-LN(2)/25))/(LN(2)/25)*Calculateur!V95*Calculateur!X95*VLOOKUP('Données projet'!$B$9,Paramètres!$A$1:$I$89,3,0)*0.475*44/12</f>
        <v>3.9321390419411864</v>
      </c>
      <c r="AB95" s="21">
        <f>EXP(-LN(2)/2)*AB94+(1-EXP(-LN(2)/2))/(LN(2)/2)*V95*Y95*VLOOKUP('Données projet'!$B$9,Paramètres!$A$1:$I$89,3,0)*0.475*44/12</f>
        <v>2.8134308945128132E-9</v>
      </c>
      <c r="AC95" s="22">
        <f t="shared" si="57"/>
        <v>55.788642762734106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911.99999999999898</v>
      </c>
      <c r="AJ95" s="13">
        <f>AI95*VLOOKUP('Données projet'!$B$10,Paramètres!$A$1:$I$89,3,0)*VLOOKUP('Données projet'!$B$10,Paramètres!$A$1:$I$89,5,0)</f>
        <v>426.81599999999946</v>
      </c>
      <c r="AK95" s="13">
        <f t="shared" si="89"/>
        <v>97.192496986872399</v>
      </c>
      <c r="AL95" s="20">
        <f t="shared" si="58"/>
        <v>912.64813225213504</v>
      </c>
      <c r="AM95" s="57">
        <f t="shared" si="59"/>
        <v>1205.9814655854684</v>
      </c>
      <c r="AN95" s="57">
        <f ca="1">AVERAGE(OFFSET($AM$3,0,0,'Données projet'!$E$10+1,1))-AVERAGE(OFFSET($H$3,0,0,'Données projet'!$E$10+1,1))</f>
        <v>524.3999528951972</v>
      </c>
      <c r="AO95" s="57">
        <f t="shared" si="90"/>
        <v>459.3547783500515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117.18805329353972</v>
      </c>
      <c r="AV95" s="21">
        <f>EXP(-LN(2)/25)*AV94+(1-EXP(-LN(2)/25))/(LN(2)/25)*Calculateur!AQ95*Calculateur!AS95*VLOOKUP('Données projet'!$B$10,Paramètres!$A$1:$I$89,3,0)*0.475*44/12</f>
        <v>9.5789496370292735</v>
      </c>
      <c r="AW95" s="21">
        <f>EXP(-LN(2)/2)*AW94+(1-EXP(-LN(2)/2))/(LN(2)/2)*AQ95*AT95*VLOOKUP('Données projet'!$B$10,Paramètres!$A$1:$I$89,3,0)*0.475*44/12</f>
        <v>5.5518029690504463E-10</v>
      </c>
      <c r="AX95" s="21">
        <f t="shared" si="60"/>
        <v>126.76700293112417</v>
      </c>
      <c r="AY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852.00000000000011</v>
      </c>
      <c r="BE95" s="13">
        <f>BD95*VLOOKUP('Données projet'!$B$11,Paramètres!$A$1:$I$89,3,0)*VLOOKUP('Données projet'!$B$11,Paramètres!$A$1:$I$89,5,0)</f>
        <v>409.81200000000013</v>
      </c>
      <c r="BF95" s="13">
        <f t="shared" si="91"/>
        <v>93.76308331402879</v>
      </c>
      <c r="BG95" s="20">
        <f t="shared" si="61"/>
        <v>877.05993677193362</v>
      </c>
      <c r="BH95" s="57">
        <f t="shared" si="62"/>
        <v>1170.393270105267</v>
      </c>
      <c r="BI95" s="57">
        <f ca="1">AVERAGE(OFFSET($BH$3,0,0,'Données projet'!$E$11+1,1))-AVERAGE(OFFSET($H$3,0,0,'Données projet'!$E$11+1,1))</f>
        <v>495.6473104257044</v>
      </c>
      <c r="BJ95" s="57">
        <f t="shared" si="92"/>
        <v>430.92527296485201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122.08122541710729</v>
      </c>
      <c r="BQ95" s="21">
        <f>EXP(-LN(2)/25)*BQ94+(1-EXP(-LN(2)/25))/(LN(2)/25)*Calculateur!BL95*Calculateur!BN95*VLOOKUP('Données projet'!$B$11,Paramètres!$A$1:$I$89,3,0)*0.475*44/12</f>
        <v>9.0246122737752614</v>
      </c>
      <c r="BR95" s="21">
        <f>EXP(-LN(2)/2)*BR94+(1-EXP(-LN(2)/2))/(LN(2)/2)*BL95*BO95*VLOOKUP('Données projet'!$B$11,Paramètres!$A$1:$I$89,3,0)*0.475*44/12</f>
        <v>3.4077617761416904E-10</v>
      </c>
      <c r="BS95" s="22">
        <f t="shared" si="63"/>
        <v>131.10583769122331</v>
      </c>
      <c r="BT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7" t="e">
        <f t="shared" si="65"/>
        <v>#NUM!</v>
      </c>
      <c r="CD95" s="57">
        <f ca="1">AVERAGE(OFFSET($CC$3,0,0,'Données projet'!$E$12+1,1))-AVERAGE(OFFSET($H$3,0,0,'Données projet'!$E$12+1,1))</f>
        <v>187.80389738728508</v>
      </c>
      <c r="CE95" s="57">
        <f t="shared" si="94"/>
        <v>439.28159165815265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36.178329000911489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5.7468153065835751E-10</v>
      </c>
      <c r="CN95" s="22">
        <f t="shared" si="66"/>
        <v>36.178329001486169</v>
      </c>
      <c r="CO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</v>
      </c>
      <c r="CT95" s="12">
        <f>IF('Données projet'!$A$140&gt;35,CT94+CS95-DB94,IF(A95&lt;'Données projet'!$A$140,$CQ$205^A95,IF(A95='Données projet'!$A$140,'Données projet'!$B$140,CT94+CS95-DB94)))</f>
        <v>263.99999999999983</v>
      </c>
      <c r="CU95" s="17">
        <f>CT95*VLOOKUP('Données projet'!$B$13,Paramètres!$A$1:$I$89,3,0)*VLOOKUP('Données projet'!$B$13,Paramètres!$A$1:$I$89,5,0)</f>
        <v>238.86719999999983</v>
      </c>
      <c r="CV95" s="13">
        <f t="shared" si="95"/>
        <v>58.195735973104156</v>
      </c>
      <c r="CW95" s="20">
        <f t="shared" si="67"/>
        <v>517.38461348648946</v>
      </c>
      <c r="CX95" s="57">
        <f t="shared" si="68"/>
        <v>810.71794681982283</v>
      </c>
      <c r="CY95" s="57">
        <f ca="1">AVERAGE(OFFSET($CX$3,0,0,'Données projet'!$E$13+1,1))-AVERAGE(OFFSET($H$3,0,0,'Données projet'!$E$13+1,1))</f>
        <v>364.3481978218424</v>
      </c>
      <c r="CZ95" s="57">
        <f t="shared" si="96"/>
        <v>231.36959598460686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64.020919804271486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64.020919804271486</v>
      </c>
      <c r="DJ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255.00000000000006</v>
      </c>
      <c r="DP95" s="17">
        <f>DO95*VLOOKUP('Données projet'!$B$14,Paramètres!$A$1:$I$89,3,0)*VLOOKUP('Données projet'!$B$14,Paramètres!$A$1:$I$89,5,0)</f>
        <v>186.96600000000004</v>
      </c>
      <c r="DQ95" s="13">
        <f t="shared" si="97"/>
        <v>46.868551400324648</v>
      </c>
      <c r="DR95" s="20">
        <f t="shared" si="70"/>
        <v>407.26184368889881</v>
      </c>
      <c r="DS95" s="57">
        <f t="shared" si="71"/>
        <v>700.59517702223206</v>
      </c>
      <c r="DT95" s="57">
        <f ca="1">AVERAGE(OFFSET($DS$3,0,0,'Données projet'!$E$14+1,1))-AVERAGE(OFFSET($H$3,0,0,'Données projet'!$E$14+1,1))</f>
        <v>239.25212250019609</v>
      </c>
      <c r="DU95" s="57">
        <f t="shared" si="98"/>
        <v>213.58492101729695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7.6</v>
      </c>
      <c r="EJ95" s="12">
        <f>IF('Données projet'!$A$192&gt;35,EJ94+EI95-ER94,IF(A95&lt;'Données projet'!$A$192,$EG$205^A95,IF(A95='Données projet'!$A$192,'Données projet'!$B$192,EJ94+EI95-ER94)))</f>
        <v>366.19999999999987</v>
      </c>
      <c r="EK95" s="17">
        <f>EJ95*VLOOKUP('Données projet'!$B$15,Paramètres!$A$1:$I$89,3,0)*VLOOKUP('Données projet'!$B$15,Paramètres!$A$1:$I$89,5,0)</f>
        <v>314.19959999999992</v>
      </c>
      <c r="EL95" s="13">
        <f t="shared" si="99"/>
        <v>74.145185764564587</v>
      </c>
      <c r="EM95" s="20">
        <f t="shared" si="73"/>
        <v>676.36716853994983</v>
      </c>
      <c r="EN95" s="57">
        <f t="shared" si="74"/>
        <v>969.7005018732832</v>
      </c>
      <c r="EO95" s="57">
        <f ca="1">AVERAGE(OFFSET($EN$3,0,0,'Données projet'!$E$15+1,1))-AVERAGE(OFFSET($H$3,0,0,'Données projet'!$E$15+1,1))</f>
        <v>447.10969593632467</v>
      </c>
      <c r="EP95" s="57">
        <f t="shared" si="100"/>
        <v>256.77417912163997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98.366653242934404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98.366653242934404</v>
      </c>
      <c r="EZ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7" t="e">
        <f t="shared" si="77"/>
        <v>#N/A</v>
      </c>
      <c r="FJ95" s="57" t="e">
        <f ca="1">AVERAGE(OFFSET($FI$3,0,0,'Données projet'!$E$16+1,1))-AVERAGE(OFFSET($H$3,0,0,'Données projet'!$E$16+1,1))</f>
        <v>#N/A</v>
      </c>
      <c r="FK95" s="57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7" t="e">
        <f t="shared" si="80"/>
        <v>#N/A</v>
      </c>
      <c r="GE95" s="57" t="e">
        <f ca="1">AVERAGE(OFFSET($GD$3,0,0,'Données projet'!$E$17+1,1))-AVERAGE(OFFSET($H$3,0,0,'Données projet'!$E$17+1,1))</f>
        <v>#N/A</v>
      </c>
      <c r="GF95" s="57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7" t="e">
        <f t="shared" si="83"/>
        <v>#N/A</v>
      </c>
      <c r="GZ95" s="57" t="e">
        <f ca="1">AVERAGE(OFFSET($GY$3,0,0,'Données projet'!$E$18+1,1))-AVERAGE(OFFSET($H$3,0,0,'Données projet'!$E$18+1,1))</f>
        <v>#N/A</v>
      </c>
      <c r="HA95" s="57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0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4">
        <f t="shared" si="56"/>
        <v>256.66666666666669</v>
      </c>
      <c r="I96" s="6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636.99999999999977</v>
      </c>
      <c r="O96" s="13">
        <f>N96*VLOOKUP('Données projet'!$B$9,Paramètres!$A$1:$I$89,3,0)*VLOOKUP('Données projet'!$B$9,Paramètres!$A$1:$I$89,5,0)</f>
        <v>356.08299999999991</v>
      </c>
      <c r="P96" s="13">
        <f t="shared" si="87"/>
        <v>82.813805255716545</v>
      </c>
      <c r="Q96" s="20">
        <f t="shared" si="54"/>
        <v>764.41193582037283</v>
      </c>
      <c r="R96" s="57">
        <f t="shared" si="55"/>
        <v>1057.7452691537062</v>
      </c>
      <c r="S96" s="57">
        <f ca="1">AVERAGE(OFFSET($R$3,0,0,'Données projet'!$E$9+1,1))-AVERAGE(OFFSET($H$3,0,0,'Données projet'!$E$9+1,1))</f>
        <v>443.34220761968419</v>
      </c>
      <c r="T96" s="57">
        <f t="shared" si="88"/>
        <v>546.58234447298014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50.839629309414043</v>
      </c>
      <c r="AA96" s="21">
        <f>EXP(-LN(2)/25)*AA95+(1-EXP(-LN(2)/25))/(LN(2)/25)*Calculateur!V96*Calculateur!X96*VLOOKUP('Données projet'!$B$9,Paramètres!$A$1:$I$89,3,0)*0.475*44/12</f>
        <v>3.8246144930570996</v>
      </c>
      <c r="AB96" s="21">
        <f>EXP(-LN(2)/2)*AB95+(1-EXP(-LN(2)/2))/(LN(2)/2)*V96*Y96*VLOOKUP('Données projet'!$B$9,Paramètres!$A$1:$I$89,3,0)*0.475*44/12</f>
        <v>1.9893960639097444E-9</v>
      </c>
      <c r="AC96" s="22">
        <f t="shared" si="57"/>
        <v>54.66424380446054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911.99999999999898</v>
      </c>
      <c r="AJ96" s="13">
        <f>AI96*VLOOKUP('Données projet'!$B$10,Paramètres!$A$1:$I$89,3,0)*VLOOKUP('Données projet'!$B$10,Paramètres!$A$1:$I$89,5,0)</f>
        <v>426.81599999999946</v>
      </c>
      <c r="AK96" s="13">
        <f t="shared" si="89"/>
        <v>97.192496986872399</v>
      </c>
      <c r="AL96" s="20">
        <f t="shared" si="58"/>
        <v>912.64813225213504</v>
      </c>
      <c r="AM96" s="57">
        <f t="shared" si="59"/>
        <v>1205.9814655854684</v>
      </c>
      <c r="AN96" s="57">
        <f ca="1">AVERAGE(OFFSET($AM$3,0,0,'Données projet'!$E$10+1,1))-AVERAGE(OFFSET($H$3,0,0,'Données projet'!$E$10+1,1))</f>
        <v>524.3999528951972</v>
      </c>
      <c r="AO96" s="57">
        <f t="shared" si="90"/>
        <v>459.3547783500515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114.89006704610809</v>
      </c>
      <c r="AV96" s="21">
        <f>EXP(-LN(2)/25)*AV95+(1-EXP(-LN(2)/25))/(LN(2)/25)*Calculateur!AQ96*Calculateur!AS96*VLOOKUP('Données projet'!$B$10,Paramètres!$A$1:$I$89,3,0)*0.475*44/12</f>
        <v>9.3170127554696389</v>
      </c>
      <c r="AW96" s="21">
        <f>EXP(-LN(2)/2)*AW95+(1-EXP(-LN(2)/2))/(LN(2)/2)*AQ96*AT96*VLOOKUP('Données projet'!$B$10,Paramètres!$A$1:$I$89,3,0)*0.475*44/12</f>
        <v>3.9257175272271788E-10</v>
      </c>
      <c r="AX96" s="21">
        <f t="shared" si="60"/>
        <v>124.20707980197029</v>
      </c>
      <c r="AY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852.00000000000011</v>
      </c>
      <c r="BE96" s="13">
        <f>BD96*VLOOKUP('Données projet'!$B$11,Paramètres!$A$1:$I$89,3,0)*VLOOKUP('Données projet'!$B$11,Paramètres!$A$1:$I$89,5,0)</f>
        <v>409.81200000000013</v>
      </c>
      <c r="BF96" s="13">
        <f t="shared" si="91"/>
        <v>93.76308331402879</v>
      </c>
      <c r="BG96" s="20">
        <f t="shared" si="61"/>
        <v>877.05993677193362</v>
      </c>
      <c r="BH96" s="57">
        <f t="shared" si="62"/>
        <v>1170.393270105267</v>
      </c>
      <c r="BI96" s="57">
        <f ca="1">AVERAGE(OFFSET($BH$3,0,0,'Données projet'!$E$11+1,1))-AVERAGE(OFFSET($H$3,0,0,'Données projet'!$E$11+1,1))</f>
        <v>495.6473104257044</v>
      </c>
      <c r="BJ96" s="57">
        <f t="shared" si="92"/>
        <v>430.92527296485201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119.68728704887279</v>
      </c>
      <c r="BQ96" s="21">
        <f>EXP(-LN(2)/25)*BQ95+(1-EXP(-LN(2)/25))/(LN(2)/25)*Calculateur!BL96*Calculateur!BN96*VLOOKUP('Données projet'!$B$11,Paramètres!$A$1:$I$89,3,0)*0.475*44/12</f>
        <v>8.777833776565144</v>
      </c>
      <c r="BR96" s="21">
        <f>EXP(-LN(2)/2)*BR95+(1-EXP(-LN(2)/2))/(LN(2)/2)*BL96*BO96*VLOOKUP('Données projet'!$B$11,Paramètres!$A$1:$I$89,3,0)*0.475*44/12</f>
        <v>2.4096514605781028E-10</v>
      </c>
      <c r="BS96" s="22">
        <f t="shared" si="63"/>
        <v>128.46512082567889</v>
      </c>
      <c r="BT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7" t="e">
        <f t="shared" si="65"/>
        <v>#NUM!</v>
      </c>
      <c r="CD96" s="57">
        <f ca="1">AVERAGE(OFFSET($CC$3,0,0,'Données projet'!$E$12+1,1))-AVERAGE(OFFSET($H$3,0,0,'Données projet'!$E$12+1,1))</f>
        <v>187.80389738728508</v>
      </c>
      <c r="CE96" s="57">
        <f t="shared" si="94"/>
        <v>439.28159165815265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35.468894035805413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4.0636120735118941E-10</v>
      </c>
      <c r="CN96" s="22">
        <f t="shared" si="66"/>
        <v>35.468894036211772</v>
      </c>
      <c r="CO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5</v>
      </c>
      <c r="CT96" s="12">
        <f>IF('Données projet'!$A$140&gt;35,CT95+CS96-DB95,IF(A96&lt;'Données projet'!$A$140,$CQ$205^A96,IF(A96='Données projet'!$A$140,'Données projet'!$B$140,CT95+CS96-DB95)))</f>
        <v>268.99999999999983</v>
      </c>
      <c r="CU96" s="17">
        <f>CT96*VLOOKUP('Données projet'!$B$13,Paramètres!$A$1:$I$89,3,0)*VLOOKUP('Données projet'!$B$13,Paramètres!$A$1:$I$89,5,0)</f>
        <v>243.39119999999986</v>
      </c>
      <c r="CV96" s="13">
        <f t="shared" si="95"/>
        <v>59.168566788241527</v>
      </c>
      <c r="CW96" s="20">
        <f t="shared" si="67"/>
        <v>526.95826048952051</v>
      </c>
      <c r="CX96" s="57">
        <f t="shared" si="68"/>
        <v>820.29159382285388</v>
      </c>
      <c r="CY96" s="57">
        <f ca="1">AVERAGE(OFFSET($CX$3,0,0,'Données projet'!$E$13+1,1))-AVERAGE(OFFSET($H$3,0,0,'Données projet'!$E$13+1,1))</f>
        <v>364.3481978218424</v>
      </c>
      <c r="CZ96" s="57">
        <f t="shared" si="96"/>
        <v>231.36959598460686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62.765508615815044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62.765508615815044</v>
      </c>
      <c r="DJ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255.00000000000006</v>
      </c>
      <c r="DP96" s="17">
        <f>DO96*VLOOKUP('Données projet'!$B$14,Paramètres!$A$1:$I$89,3,0)*VLOOKUP('Données projet'!$B$14,Paramètres!$A$1:$I$89,5,0)</f>
        <v>186.96600000000004</v>
      </c>
      <c r="DQ96" s="13">
        <f t="shared" si="97"/>
        <v>46.868551400324648</v>
      </c>
      <c r="DR96" s="20">
        <f t="shared" si="70"/>
        <v>407.26184368889881</v>
      </c>
      <c r="DS96" s="57">
        <f t="shared" si="71"/>
        <v>700.59517702223206</v>
      </c>
      <c r="DT96" s="57">
        <f ca="1">AVERAGE(OFFSET($DS$3,0,0,'Données projet'!$E$14+1,1))-AVERAGE(OFFSET($H$3,0,0,'Données projet'!$E$14+1,1))</f>
        <v>239.25212250019609</v>
      </c>
      <c r="DU96" s="57">
        <f t="shared" si="98"/>
        <v>213.58492101729695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7.6</v>
      </c>
      <c r="EJ96" s="12">
        <f>IF('Données projet'!$A$192&gt;35,EJ95+EI96-ER95,IF(A96&lt;'Données projet'!$A$192,$EG$205^A96,IF(A96='Données projet'!$A$192,'Données projet'!$B$192,EJ95+EI96-ER95)))</f>
        <v>373.7999999999999</v>
      </c>
      <c r="EK96" s="17">
        <f>EJ96*VLOOKUP('Données projet'!$B$15,Paramètres!$A$1:$I$89,3,0)*VLOOKUP('Données projet'!$B$15,Paramètres!$A$1:$I$89,5,0)</f>
        <v>320.72039999999993</v>
      </c>
      <c r="EL96" s="13">
        <f t="shared" si="99"/>
        <v>75.503227270035708</v>
      </c>
      <c r="EM96" s="20">
        <f t="shared" si="73"/>
        <v>690.0894841619787</v>
      </c>
      <c r="EN96" s="57">
        <f t="shared" si="74"/>
        <v>983.42281749531207</v>
      </c>
      <c r="EO96" s="57">
        <f ca="1">AVERAGE(OFFSET($EN$3,0,0,'Données projet'!$E$15+1,1))-AVERAGE(OFFSET($H$3,0,0,'Données projet'!$E$15+1,1))</f>
        <v>447.10969593632467</v>
      </c>
      <c r="EP96" s="57">
        <f t="shared" si="100"/>
        <v>256.77417912163997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96.437743170574649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96.437743170574649</v>
      </c>
      <c r="EZ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7" t="e">
        <f t="shared" si="77"/>
        <v>#N/A</v>
      </c>
      <c r="FJ96" s="57" t="e">
        <f ca="1">AVERAGE(OFFSET($FI$3,0,0,'Données projet'!$E$16+1,1))-AVERAGE(OFFSET($H$3,0,0,'Données projet'!$E$16+1,1))</f>
        <v>#N/A</v>
      </c>
      <c r="FK96" s="57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7" t="e">
        <f t="shared" si="80"/>
        <v>#N/A</v>
      </c>
      <c r="GE96" s="57" t="e">
        <f ca="1">AVERAGE(OFFSET($GD$3,0,0,'Données projet'!$E$17+1,1))-AVERAGE(OFFSET($H$3,0,0,'Données projet'!$E$17+1,1))</f>
        <v>#N/A</v>
      </c>
      <c r="GF96" s="57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7" t="e">
        <f t="shared" si="83"/>
        <v>#N/A</v>
      </c>
      <c r="GZ96" s="57" t="e">
        <f ca="1">AVERAGE(OFFSET($GY$3,0,0,'Données projet'!$E$18+1,1))-AVERAGE(OFFSET($H$3,0,0,'Données projet'!$E$18+1,1))</f>
        <v>#N/A</v>
      </c>
      <c r="HA96" s="57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0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4">
        <f t="shared" si="56"/>
        <v>256.66666666666669</v>
      </c>
      <c r="I97" s="6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636.99999999999977</v>
      </c>
      <c r="O97" s="13">
        <f>N97*VLOOKUP('Données projet'!$B$9,Paramètres!$A$1:$I$89,3,0)*VLOOKUP('Données projet'!$B$9,Paramètres!$A$1:$I$89,5,0)</f>
        <v>356.08299999999991</v>
      </c>
      <c r="P97" s="13">
        <f t="shared" si="87"/>
        <v>82.813805255716545</v>
      </c>
      <c r="Q97" s="20">
        <f t="shared" si="54"/>
        <v>764.41193582037283</v>
      </c>
      <c r="R97" s="57">
        <f t="shared" si="55"/>
        <v>1057.7452691537062</v>
      </c>
      <c r="S97" s="57">
        <f ca="1">AVERAGE(OFFSET($R$3,0,0,'Données projet'!$E$9+1,1))-AVERAGE(OFFSET($H$3,0,0,'Données projet'!$E$9+1,1))</f>
        <v>443.34220761968419</v>
      </c>
      <c r="T97" s="57">
        <f t="shared" si="88"/>
        <v>546.58234447298014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49.84269518776842</v>
      </c>
      <c r="AA97" s="21">
        <f>EXP(-LN(2)/25)*AA96+(1-EXP(-LN(2)/25))/(LN(2)/25)*Calculateur!V97*Calculateur!X97*VLOOKUP('Données projet'!$B$9,Paramètres!$A$1:$I$89,3,0)*0.475*44/12</f>
        <v>3.7200302086167181</v>
      </c>
      <c r="AB97" s="21">
        <f>EXP(-LN(2)/2)*AB96+(1-EXP(-LN(2)/2))/(LN(2)/2)*V97*Y97*VLOOKUP('Données projet'!$B$9,Paramètres!$A$1:$I$89,3,0)*0.475*44/12</f>
        <v>1.4067154472564066E-9</v>
      </c>
      <c r="AC97" s="22">
        <f t="shared" si="57"/>
        <v>53.562725397791858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911.99999999999898</v>
      </c>
      <c r="AJ97" s="13">
        <f>AI97*VLOOKUP('Données projet'!$B$10,Paramètres!$A$1:$I$89,3,0)*VLOOKUP('Données projet'!$B$10,Paramètres!$A$1:$I$89,5,0)</f>
        <v>426.81599999999946</v>
      </c>
      <c r="AK97" s="13">
        <f t="shared" si="89"/>
        <v>97.192496986872399</v>
      </c>
      <c r="AL97" s="20">
        <f t="shared" si="58"/>
        <v>912.64813225213504</v>
      </c>
      <c r="AM97" s="57">
        <f t="shared" si="59"/>
        <v>1205.9814655854684</v>
      </c>
      <c r="AN97" s="57">
        <f ca="1">AVERAGE(OFFSET($AM$3,0,0,'Données projet'!$E$10+1,1))-AVERAGE(OFFSET($H$3,0,0,'Données projet'!$E$10+1,1))</f>
        <v>524.3999528951972</v>
      </c>
      <c r="AO97" s="57">
        <f t="shared" si="90"/>
        <v>459.3547783500515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112.63714290735537</v>
      </c>
      <c r="AV97" s="21">
        <f>EXP(-LN(2)/25)*AV96+(1-EXP(-LN(2)/25))/(LN(2)/25)*Calculateur!AQ97*Calculateur!AS97*VLOOKUP('Données projet'!$B$10,Paramètres!$A$1:$I$89,3,0)*0.475*44/12</f>
        <v>9.0622385517109159</v>
      </c>
      <c r="AW97" s="21">
        <f>EXP(-LN(2)/2)*AW96+(1-EXP(-LN(2)/2))/(LN(2)/2)*AQ97*AT97*VLOOKUP('Données projet'!$B$10,Paramètres!$A$1:$I$89,3,0)*0.475*44/12</f>
        <v>2.7759014845252231E-10</v>
      </c>
      <c r="AX97" s="21">
        <f t="shared" si="60"/>
        <v>121.69938145934388</v>
      </c>
      <c r="AY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852.00000000000011</v>
      </c>
      <c r="BE97" s="13">
        <f>BD97*VLOOKUP('Données projet'!$B$11,Paramètres!$A$1:$I$89,3,0)*VLOOKUP('Données projet'!$B$11,Paramètres!$A$1:$I$89,5,0)</f>
        <v>409.81200000000013</v>
      </c>
      <c r="BF97" s="13">
        <f t="shared" si="91"/>
        <v>93.76308331402879</v>
      </c>
      <c r="BG97" s="20">
        <f t="shared" si="61"/>
        <v>877.05993677193362</v>
      </c>
      <c r="BH97" s="57">
        <f t="shared" si="62"/>
        <v>1170.393270105267</v>
      </c>
      <c r="BI97" s="57">
        <f ca="1">AVERAGE(OFFSET($BH$3,0,0,'Données projet'!$E$11+1,1))-AVERAGE(OFFSET($H$3,0,0,'Données projet'!$E$11+1,1))</f>
        <v>495.6473104257044</v>
      </c>
      <c r="BJ97" s="57">
        <f t="shared" si="92"/>
        <v>430.92527296485201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117.34029235188115</v>
      </c>
      <c r="BQ97" s="21">
        <f>EXP(-LN(2)/25)*BQ96+(1-EXP(-LN(2)/25))/(LN(2)/25)*Calculateur!BL97*Calculateur!BN97*VLOOKUP('Données projet'!$B$11,Paramètres!$A$1:$I$89,3,0)*0.475*44/12</f>
        <v>8.5378034503387532</v>
      </c>
      <c r="BR97" s="21">
        <f>EXP(-LN(2)/2)*BR96+(1-EXP(-LN(2)/2))/(LN(2)/2)*BL97*BO97*VLOOKUP('Données projet'!$B$11,Paramètres!$A$1:$I$89,3,0)*0.475*44/12</f>
        <v>1.7038808880708452E-10</v>
      </c>
      <c r="BS97" s="22">
        <f t="shared" si="63"/>
        <v>125.87809580239029</v>
      </c>
      <c r="BT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7" t="e">
        <f t="shared" si="65"/>
        <v>#NUM!</v>
      </c>
      <c r="CD97" s="57">
        <f ca="1">AVERAGE(OFFSET($CC$3,0,0,'Données projet'!$E$12+1,1))-AVERAGE(OFFSET($H$3,0,0,'Données projet'!$E$12+1,1))</f>
        <v>187.80389738728508</v>
      </c>
      <c r="CE97" s="57">
        <f t="shared" si="94"/>
        <v>439.28159165815265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34.773370657652464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2.8734076532917876E-10</v>
      </c>
      <c r="CN97" s="22">
        <f t="shared" si="66"/>
        <v>34.773370657939807</v>
      </c>
      <c r="CO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</v>
      </c>
      <c r="CT97" s="12">
        <f>IF('Données projet'!$A$140&gt;35,CT96+CS97-DB96,IF(A97&lt;'Données projet'!$A$140,$CQ$205^A97,IF(A97='Données projet'!$A$140,'Données projet'!$B$140,CT96+CS97-DB96)))</f>
        <v>273.99999999999983</v>
      </c>
      <c r="CU97" s="17">
        <f>CT97*VLOOKUP('Données projet'!$B$13,Paramètres!$A$1:$I$89,3,0)*VLOOKUP('Données projet'!$B$13,Paramètres!$A$1:$I$89,5,0)</f>
        <v>247.91519999999986</v>
      </c>
      <c r="CV97" s="13">
        <f t="shared" si="95"/>
        <v>60.139294964297406</v>
      </c>
      <c r="CW97" s="20">
        <f t="shared" si="67"/>
        <v>536.52824539615096</v>
      </c>
      <c r="CX97" s="57">
        <f t="shared" si="68"/>
        <v>829.86157872948434</v>
      </c>
      <c r="CY97" s="57">
        <f ca="1">AVERAGE(OFFSET($CX$3,0,0,'Données projet'!$E$13+1,1))-AVERAGE(OFFSET($H$3,0,0,'Données projet'!$E$13+1,1))</f>
        <v>364.3481978218424</v>
      </c>
      <c r="CZ97" s="57">
        <f t="shared" si="96"/>
        <v>231.36959598460686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61.534715275039019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61.534715275039019</v>
      </c>
      <c r="DJ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255.00000000000006</v>
      </c>
      <c r="DP97" s="17">
        <f>DO97*VLOOKUP('Données projet'!$B$14,Paramètres!$A$1:$I$89,3,0)*VLOOKUP('Données projet'!$B$14,Paramètres!$A$1:$I$89,5,0)</f>
        <v>186.96600000000004</v>
      </c>
      <c r="DQ97" s="13">
        <f t="shared" si="97"/>
        <v>46.868551400324648</v>
      </c>
      <c r="DR97" s="20">
        <f t="shared" si="70"/>
        <v>407.26184368889881</v>
      </c>
      <c r="DS97" s="57">
        <f t="shared" si="71"/>
        <v>700.59517702223206</v>
      </c>
      <c r="DT97" s="57">
        <f ca="1">AVERAGE(OFFSET($DS$3,0,0,'Données projet'!$E$14+1,1))-AVERAGE(OFFSET($H$3,0,0,'Données projet'!$E$14+1,1))</f>
        <v>239.25212250019609</v>
      </c>
      <c r="DU97" s="57">
        <f t="shared" si="98"/>
        <v>213.58492101729695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7.6</v>
      </c>
      <c r="EJ97" s="12">
        <f>IF('Données projet'!$A$192&gt;35,EJ96+EI97-ER96,IF(A97&lt;'Données projet'!$A$192,$EG$205^A97,IF(A97='Données projet'!$A$192,'Données projet'!$B$192,EJ96+EI97-ER96)))</f>
        <v>381.39999999999992</v>
      </c>
      <c r="EK97" s="17">
        <f>EJ97*VLOOKUP('Données projet'!$B$15,Paramètres!$A$1:$I$89,3,0)*VLOOKUP('Données projet'!$B$15,Paramètres!$A$1:$I$89,5,0)</f>
        <v>327.24119999999999</v>
      </c>
      <c r="EL97" s="13">
        <f t="shared" si="99"/>
        <v>76.85805838290122</v>
      </c>
      <c r="EM97" s="20">
        <f t="shared" si="73"/>
        <v>703.80620835021955</v>
      </c>
      <c r="EN97" s="57">
        <f t="shared" si="74"/>
        <v>997.13954168355281</v>
      </c>
      <c r="EO97" s="57">
        <f ca="1">AVERAGE(OFFSET($EN$3,0,0,'Données projet'!$E$15+1,1))-AVERAGE(OFFSET($H$3,0,0,'Données projet'!$E$15+1,1))</f>
        <v>447.10969593632467</v>
      </c>
      <c r="EP97" s="57">
        <f t="shared" si="100"/>
        <v>256.77417912163997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94.546657848214906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94.546657848214906</v>
      </c>
      <c r="EZ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7" t="e">
        <f t="shared" si="77"/>
        <v>#N/A</v>
      </c>
      <c r="FJ97" s="57" t="e">
        <f ca="1">AVERAGE(OFFSET($FI$3,0,0,'Données projet'!$E$16+1,1))-AVERAGE(OFFSET($H$3,0,0,'Données projet'!$E$16+1,1))</f>
        <v>#N/A</v>
      </c>
      <c r="FK97" s="57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7" t="e">
        <f t="shared" si="80"/>
        <v>#N/A</v>
      </c>
      <c r="GE97" s="57" t="e">
        <f ca="1">AVERAGE(OFFSET($GD$3,0,0,'Données projet'!$E$17+1,1))-AVERAGE(OFFSET($H$3,0,0,'Données projet'!$E$17+1,1))</f>
        <v>#N/A</v>
      </c>
      <c r="GF97" s="57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7" t="e">
        <f t="shared" si="83"/>
        <v>#N/A</v>
      </c>
      <c r="GZ97" s="57" t="e">
        <f ca="1">AVERAGE(OFFSET($GY$3,0,0,'Données projet'!$E$18+1,1))-AVERAGE(OFFSET($H$3,0,0,'Données projet'!$E$18+1,1))</f>
        <v>#N/A</v>
      </c>
      <c r="HA97" s="57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0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4">
        <f t="shared" si="56"/>
        <v>256.66666666666669</v>
      </c>
      <c r="I98" s="6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636.99999999999977</v>
      </c>
      <c r="O98" s="13">
        <f>N98*VLOOKUP('Données projet'!$B$9,Paramètres!$A$1:$I$89,3,0)*VLOOKUP('Données projet'!$B$9,Paramètres!$A$1:$I$89,5,0)</f>
        <v>356.08299999999991</v>
      </c>
      <c r="P98" s="13">
        <f t="shared" si="87"/>
        <v>82.813805255716545</v>
      </c>
      <c r="Q98" s="20">
        <f t="shared" si="54"/>
        <v>764.41193582037283</v>
      </c>
      <c r="R98" s="57">
        <f t="shared" si="55"/>
        <v>1057.7452691537062</v>
      </c>
      <c r="S98" s="57">
        <f ca="1">AVERAGE(OFFSET($R$3,0,0,'Données projet'!$E$9+1,1))-AVERAGE(OFFSET($H$3,0,0,'Données projet'!$E$9+1,1))</f>
        <v>443.34220761968419</v>
      </c>
      <c r="T98" s="57">
        <f t="shared" si="88"/>
        <v>546.58234447298014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48.865310336178496</v>
      </c>
      <c r="AA98" s="21">
        <f>EXP(-LN(2)/25)*AA97+(1-EXP(-LN(2)/25))/(LN(2)/25)*Calculateur!V98*Calculateur!X98*VLOOKUP('Données projet'!$B$9,Paramètres!$A$1:$I$89,3,0)*0.475*44/12</f>
        <v>3.6183057869342075</v>
      </c>
      <c r="AB98" s="21">
        <f>EXP(-LN(2)/2)*AB97+(1-EXP(-LN(2)/2))/(LN(2)/2)*V98*Y98*VLOOKUP('Données projet'!$B$9,Paramètres!$A$1:$I$89,3,0)*0.475*44/12</f>
        <v>9.9469803195487222E-10</v>
      </c>
      <c r="AC98" s="22">
        <f t="shared" si="57"/>
        <v>52.4836161241074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911.99999999999898</v>
      </c>
      <c r="AJ98" s="13">
        <f>AI98*VLOOKUP('Données projet'!$B$10,Paramètres!$A$1:$I$89,3,0)*VLOOKUP('Données projet'!$B$10,Paramètres!$A$1:$I$89,5,0)</f>
        <v>426.81599999999946</v>
      </c>
      <c r="AK98" s="13">
        <f t="shared" si="89"/>
        <v>97.192496986872399</v>
      </c>
      <c r="AL98" s="20">
        <f t="shared" si="58"/>
        <v>912.64813225213504</v>
      </c>
      <c r="AM98" s="57">
        <f t="shared" si="59"/>
        <v>1205.9814655854684</v>
      </c>
      <c r="AN98" s="57">
        <f ca="1">AVERAGE(OFFSET($AM$3,0,0,'Données projet'!$E$10+1,1))-AVERAGE(OFFSET($H$3,0,0,'Données projet'!$E$10+1,1))</f>
        <v>524.3999528951972</v>
      </c>
      <c r="AO98" s="57">
        <f t="shared" si="90"/>
        <v>459.3547783500515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110.42839723681556</v>
      </c>
      <c r="AV98" s="21">
        <f>EXP(-LN(2)/25)*AV97+(1-EXP(-LN(2)/25))/(LN(2)/25)*Calculateur!AQ98*Calculateur!AS98*VLOOKUP('Données projet'!$B$10,Paramètres!$A$1:$I$89,3,0)*0.475*44/12</f>
        <v>8.8144311619519673</v>
      </c>
      <c r="AW98" s="21">
        <f>EXP(-LN(2)/2)*AW97+(1-EXP(-LN(2)/2))/(LN(2)/2)*AQ98*AT98*VLOOKUP('Données projet'!$B$10,Paramètres!$A$1:$I$89,3,0)*0.475*44/12</f>
        <v>1.9628587636135894E-10</v>
      </c>
      <c r="AX98" s="21">
        <f t="shared" si="60"/>
        <v>119.24282839896381</v>
      </c>
      <c r="AY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852.00000000000011</v>
      </c>
      <c r="BE98" s="13">
        <f>BD98*VLOOKUP('Données projet'!$B$11,Paramètres!$A$1:$I$89,3,0)*VLOOKUP('Données projet'!$B$11,Paramètres!$A$1:$I$89,5,0)</f>
        <v>409.81200000000013</v>
      </c>
      <c r="BF98" s="13">
        <f t="shared" si="91"/>
        <v>93.76308331402879</v>
      </c>
      <c r="BG98" s="20">
        <f t="shared" si="61"/>
        <v>877.05993677193362</v>
      </c>
      <c r="BH98" s="57">
        <f t="shared" si="62"/>
        <v>1170.393270105267</v>
      </c>
      <c r="BI98" s="57">
        <f ca="1">AVERAGE(OFFSET($BH$3,0,0,'Données projet'!$E$11+1,1))-AVERAGE(OFFSET($H$3,0,0,'Données projet'!$E$11+1,1))</f>
        <v>495.6473104257044</v>
      </c>
      <c r="BJ98" s="57">
        <f t="shared" si="92"/>
        <v>430.92527296485201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115.03932078937208</v>
      </c>
      <c r="BQ98" s="21">
        <f>EXP(-LN(2)/25)*BQ97+(1-EXP(-LN(2)/25))/(LN(2)/25)*Calculateur!BL98*Calculateur!BN98*VLOOKUP('Données projet'!$B$11,Paramètres!$A$1:$I$89,3,0)*0.475*44/12</f>
        <v>8.3043367660056706</v>
      </c>
      <c r="BR98" s="21">
        <f>EXP(-LN(2)/2)*BR97+(1-EXP(-LN(2)/2))/(LN(2)/2)*BL98*BO98*VLOOKUP('Données projet'!$B$11,Paramètres!$A$1:$I$89,3,0)*0.475*44/12</f>
        <v>1.2048257302890514E-10</v>
      </c>
      <c r="BS98" s="22">
        <f t="shared" si="63"/>
        <v>123.34365755549824</v>
      </c>
      <c r="BT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7" t="e">
        <f t="shared" si="65"/>
        <v>#NUM!</v>
      </c>
      <c r="CD98" s="57">
        <f ca="1">AVERAGE(OFFSET($CC$3,0,0,'Données projet'!$E$12+1,1))-AVERAGE(OFFSET($H$3,0,0,'Données projet'!$E$12+1,1))</f>
        <v>187.80389738728508</v>
      </c>
      <c r="CE98" s="57">
        <f t="shared" si="94"/>
        <v>439.28159165815265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34.091486068717721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2.0318060367559471E-10</v>
      </c>
      <c r="CN98" s="22">
        <f t="shared" si="66"/>
        <v>34.091486068920901</v>
      </c>
      <c r="CO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279</v>
      </c>
      <c r="CR98" s="12">
        <f>VLOOKUP(A98,'Données projet'!$A$139:$I$159,9,0)</f>
        <v>5</v>
      </c>
      <c r="CS98" s="12">
        <f t="array" ref="CS98">INDEX(CR:CR,MIN(IF(ISNUMBER(CR98:CR294),ROW(CR98:CR294),"")))</f>
        <v>5</v>
      </c>
      <c r="CT98" s="12">
        <f>IF('Données projet'!$A$140&gt;35,CT97+CS98-DB97,IF(A98&lt;'Données projet'!$A$140,$CQ$205^A98,IF(A98='Données projet'!$A$140,'Données projet'!$B$140,CT97+CS98-DB97)))</f>
        <v>278.99999999999983</v>
      </c>
      <c r="CU98" s="17">
        <f>CT98*VLOOKUP('Données projet'!$B$13,Paramètres!$A$1:$I$89,3,0)*VLOOKUP('Données projet'!$B$13,Paramètres!$A$1:$I$89,5,0)</f>
        <v>252.43919999999983</v>
      </c>
      <c r="CV98" s="13">
        <f t="shared" si="95"/>
        <v>61.107963296116218</v>
      </c>
      <c r="CW98" s="20">
        <f t="shared" si="67"/>
        <v>546.09464274073537</v>
      </c>
      <c r="CX98" s="57">
        <f t="shared" si="68"/>
        <v>839.42797607406874</v>
      </c>
      <c r="CY98" s="57">
        <f ca="1">AVERAGE(OFFSET($CX$3,0,0,'Données projet'!$E$13+1,1))-AVERAGE(OFFSET($H$3,0,0,'Données projet'!$E$13+1,1))</f>
        <v>364.3481978218424</v>
      </c>
      <c r="CZ98" s="57">
        <f t="shared" si="96"/>
        <v>231.36959598460686</v>
      </c>
      <c r="DA98" s="15">
        <f>IF(ISNA(VLOOKUP(A98,'Données projet'!$A$139:$I$159,3,0)),0,VLOOKUP(A98,'Données projet'!$A$139:$I$159,3,0))</f>
        <v>15</v>
      </c>
      <c r="DB98" s="15">
        <f>IF(ISNA(VLOOKUP(A98,'Données projet'!$A$139:$I$159,4,0)),0,VLOOKUP(A98,'Données projet'!$A$139:$I$159,4,0))</f>
        <v>21</v>
      </c>
      <c r="DC98" s="16">
        <f>IF(ISNA(VLOOKUP(A98,'Données projet'!$A$139:$I$159,5,0)),0%,VLOOKUP(A98,'Données projet'!$A$139:$I$159,5,0)*VLOOKUP('Données projet'!$B$13,Paramètres!$A$1:$I$89,7,0))</f>
        <v>0.43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69.360130323560554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69.360130323560554</v>
      </c>
      <c r="DJ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255.00000000000006</v>
      </c>
      <c r="DP98" s="17">
        <f>DO98*VLOOKUP('Données projet'!$B$14,Paramètres!$A$1:$I$89,3,0)*VLOOKUP('Données projet'!$B$14,Paramètres!$A$1:$I$89,5,0)</f>
        <v>186.96600000000004</v>
      </c>
      <c r="DQ98" s="13">
        <f t="shared" si="97"/>
        <v>46.868551400324648</v>
      </c>
      <c r="DR98" s="20">
        <f t="shared" si="70"/>
        <v>407.26184368889881</v>
      </c>
      <c r="DS98" s="57">
        <f t="shared" si="71"/>
        <v>700.59517702223206</v>
      </c>
      <c r="DT98" s="57">
        <f ca="1">AVERAGE(OFFSET($DS$3,0,0,'Données projet'!$E$14+1,1))-AVERAGE(OFFSET($H$3,0,0,'Données projet'!$E$14+1,1))</f>
        <v>239.25212250019609</v>
      </c>
      <c r="DU98" s="57">
        <f t="shared" si="98"/>
        <v>213.58492101729695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389</v>
      </c>
      <c r="EH98" s="12">
        <f>VLOOKUP(A98,'Données projet'!$A$191:$I$211,9,0)</f>
        <v>7.6</v>
      </c>
      <c r="EI98" s="12">
        <f t="array" ref="EI98">INDEX(EH:EH,MIN(IF(ISNUMBER(EH98:EH294),ROW(EH98:EH294),"")))</f>
        <v>7.6</v>
      </c>
      <c r="EJ98" s="12">
        <f>IF('Données projet'!$A$192&gt;35,EJ97+EI98-ER97,IF(A98&lt;'Données projet'!$A$192,$EG$205^A98,IF(A98='Données projet'!$A$192,'Données projet'!$B$192,EJ97+EI98-ER97)))</f>
        <v>388.99999999999994</v>
      </c>
      <c r="EK98" s="17">
        <f>EJ98*VLOOKUP('Données projet'!$B$15,Paramètres!$A$1:$I$89,3,0)*VLOOKUP('Données projet'!$B$15,Paramètres!$A$1:$I$89,5,0)</f>
        <v>333.762</v>
      </c>
      <c r="EL98" s="13">
        <f t="shared" si="99"/>
        <v>78.209750448453065</v>
      </c>
      <c r="EM98" s="20">
        <f t="shared" si="73"/>
        <v>717.51746536438895</v>
      </c>
      <c r="EN98" s="57">
        <f t="shared" si="74"/>
        <v>1010.8507986977222</v>
      </c>
      <c r="EO98" s="57">
        <f ca="1">AVERAGE(OFFSET($EN$3,0,0,'Données projet'!$E$15+1,1))-AVERAGE(OFFSET($H$3,0,0,'Données projet'!$E$15+1,1))</f>
        <v>447.10969593632467</v>
      </c>
      <c r="EP98" s="57">
        <f t="shared" si="100"/>
        <v>256.77417912163997</v>
      </c>
      <c r="EQ98" s="15">
        <f>IF(ISNA(VLOOKUP(A98,'Données projet'!$A$191:$I$211,3,0)),0,VLOOKUP(A98,'Données projet'!$A$191:$I$211,3,0))</f>
        <v>15</v>
      </c>
      <c r="ER98" s="15">
        <f>IF(ISNA(VLOOKUP(A98,'Données projet'!$A$191:$I$211,4,0)),0,VLOOKUP(A98,'Données projet'!$A$191:$I$211,4,0))</f>
        <v>25</v>
      </c>
      <c r="ES98" s="16">
        <f>IF(ISNA(VLOOKUP(A98,'Données projet'!$A$191:$I$211,5,0)),0%,VLOOKUP(A98,'Données projet'!$A$191:$I$211,5,0)*VLOOKUP('Données projet'!$B$15,Paramètres!$A$1:$I$89,7,0))</f>
        <v>0.53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105.26019556529883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105.26019556529883</v>
      </c>
      <c r="EZ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7" t="e">
        <f t="shared" si="77"/>
        <v>#N/A</v>
      </c>
      <c r="FJ98" s="57" t="e">
        <f ca="1">AVERAGE(OFFSET($FI$3,0,0,'Données projet'!$E$16+1,1))-AVERAGE(OFFSET($H$3,0,0,'Données projet'!$E$16+1,1))</f>
        <v>#N/A</v>
      </c>
      <c r="FK98" s="57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7" t="e">
        <f t="shared" si="80"/>
        <v>#N/A</v>
      </c>
      <c r="GE98" s="57" t="e">
        <f ca="1">AVERAGE(OFFSET($GD$3,0,0,'Données projet'!$E$17+1,1))-AVERAGE(OFFSET($H$3,0,0,'Données projet'!$E$17+1,1))</f>
        <v>#N/A</v>
      </c>
      <c r="GF98" s="57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7" t="e">
        <f t="shared" si="83"/>
        <v>#N/A</v>
      </c>
      <c r="GZ98" s="57" t="e">
        <f ca="1">AVERAGE(OFFSET($GY$3,0,0,'Données projet'!$E$18+1,1))-AVERAGE(OFFSET($H$3,0,0,'Données projet'!$E$18+1,1))</f>
        <v>#N/A</v>
      </c>
      <c r="HA98" s="57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0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4">
        <f t="shared" si="56"/>
        <v>256.66666666666669</v>
      </c>
      <c r="I99" s="6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636.99999999999977</v>
      </c>
      <c r="O99" s="13">
        <f>N99*VLOOKUP('Données projet'!$B$9,Paramètres!$A$1:$I$89,3,0)*VLOOKUP('Données projet'!$B$9,Paramètres!$A$1:$I$89,5,0)</f>
        <v>356.08299999999991</v>
      </c>
      <c r="P99" s="13">
        <f t="shared" si="87"/>
        <v>82.813805255716545</v>
      </c>
      <c r="Q99" s="20">
        <f t="shared" ref="Q99:Q130" si="107">(O99+P99)*0.475*44/12</f>
        <v>764.41193582037283</v>
      </c>
      <c r="R99" s="57">
        <f t="shared" si="55"/>
        <v>1057.7452691537062</v>
      </c>
      <c r="S99" s="57">
        <f ca="1">AVERAGE(OFFSET($R$3,0,0,'Données projet'!$E$9+1,1))-AVERAGE(OFFSET($H$3,0,0,'Données projet'!$E$9+1,1))</f>
        <v>443.34220761968419</v>
      </c>
      <c r="T99" s="57">
        <f t="shared" si="88"/>
        <v>546.58234447298014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47.907091405382353</v>
      </c>
      <c r="AA99" s="21">
        <f>EXP(-LN(2)/25)*AA98+(1-EXP(-LN(2)/25))/(LN(2)/25)*Calculateur!V99*Calculateur!X99*VLOOKUP('Données projet'!$B$9,Paramètres!$A$1:$I$89,3,0)*0.475*44/12</f>
        <v>3.5193630249120598</v>
      </c>
      <c r="AB99" s="21">
        <f>EXP(-LN(2)/2)*AB98+(1-EXP(-LN(2)/2))/(LN(2)/2)*V99*Y99*VLOOKUP('Données projet'!$B$9,Paramètres!$A$1:$I$89,3,0)*0.475*44/12</f>
        <v>7.033577236282033E-10</v>
      </c>
      <c r="AC99" s="22">
        <f t="shared" si="57"/>
        <v>51.426454430997772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911.99999999999898</v>
      </c>
      <c r="AJ99" s="13">
        <f>AI99*VLOOKUP('Données projet'!$B$10,Paramètres!$A$1:$I$89,3,0)*VLOOKUP('Données projet'!$B$10,Paramètres!$A$1:$I$89,5,0)</f>
        <v>426.81599999999946</v>
      </c>
      <c r="AK99" s="13">
        <f t="shared" si="89"/>
        <v>97.192496986872399</v>
      </c>
      <c r="AL99" s="20">
        <f t="shared" si="58"/>
        <v>912.64813225213504</v>
      </c>
      <c r="AM99" s="57">
        <f t="shared" si="59"/>
        <v>1205.9814655854684</v>
      </c>
      <c r="AN99" s="57">
        <f ca="1">AVERAGE(OFFSET($AM$3,0,0,'Données projet'!$E$10+1,1))-AVERAGE(OFFSET($H$3,0,0,'Données projet'!$E$10+1,1))</f>
        <v>524.3999528951972</v>
      </c>
      <c r="AO99" s="57">
        <f t="shared" si="90"/>
        <v>459.3547783500515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108.2629637216732</v>
      </c>
      <c r="AV99" s="21">
        <f>EXP(-LN(2)/25)*AV98+(1-EXP(-LN(2)/25))/(LN(2)/25)*Calculateur!AQ99*Calculateur!AS99*VLOOKUP('Données projet'!$B$10,Paramètres!$A$1:$I$89,3,0)*0.475*44/12</f>
        <v>8.5734000782976008</v>
      </c>
      <c r="AW99" s="21">
        <f>EXP(-LN(2)/2)*AW98+(1-EXP(-LN(2)/2))/(LN(2)/2)*AQ99*AT99*VLOOKUP('Données projet'!$B$10,Paramètres!$A$1:$I$89,3,0)*0.475*44/12</f>
        <v>1.3879507422626116E-10</v>
      </c>
      <c r="AX99" s="21">
        <f t="shared" si="60"/>
        <v>116.83636380010959</v>
      </c>
      <c r="AY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852.00000000000011</v>
      </c>
      <c r="BE99" s="13">
        <f>BD99*VLOOKUP('Données projet'!$B$11,Paramètres!$A$1:$I$89,3,0)*VLOOKUP('Données projet'!$B$11,Paramètres!$A$1:$I$89,5,0)</f>
        <v>409.81200000000013</v>
      </c>
      <c r="BF99" s="13">
        <f t="shared" si="91"/>
        <v>93.76308331402879</v>
      </c>
      <c r="BG99" s="20">
        <f t="shared" si="61"/>
        <v>877.05993677193362</v>
      </c>
      <c r="BH99" s="57">
        <f t="shared" si="62"/>
        <v>1170.393270105267</v>
      </c>
      <c r="BI99" s="57">
        <f ca="1">AVERAGE(OFFSET($BH$3,0,0,'Données projet'!$E$11+1,1))-AVERAGE(OFFSET($H$3,0,0,'Données projet'!$E$11+1,1))</f>
        <v>495.6473104257044</v>
      </c>
      <c r="BJ99" s="57">
        <f t="shared" si="92"/>
        <v>430.92527296485201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112.78346987574976</v>
      </c>
      <c r="BQ99" s="21">
        <f>EXP(-LN(2)/25)*BQ98+(1-EXP(-LN(2)/25))/(LN(2)/25)*Calculateur!BL99*Calculateur!BN99*VLOOKUP('Données projet'!$B$11,Paramètres!$A$1:$I$89,3,0)*0.475*44/12</f>
        <v>8.0772542404331542</v>
      </c>
      <c r="BR99" s="21">
        <f>EXP(-LN(2)/2)*BR98+(1-EXP(-LN(2)/2))/(LN(2)/2)*BL99*BO99*VLOOKUP('Données projet'!$B$11,Paramètres!$A$1:$I$89,3,0)*0.475*44/12</f>
        <v>8.5194044403542259E-11</v>
      </c>
      <c r="BS99" s="22">
        <f t="shared" si="63"/>
        <v>120.8607241162681</v>
      </c>
      <c r="BT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7" t="e">
        <f t="shared" si="65"/>
        <v>#NUM!</v>
      </c>
      <c r="CD99" s="57">
        <f ca="1">AVERAGE(OFFSET($CC$3,0,0,'Données projet'!$E$12+1,1))-AVERAGE(OFFSET($H$3,0,0,'Données projet'!$E$12+1,1))</f>
        <v>187.80389738728508</v>
      </c>
      <c r="CE99" s="57">
        <f t="shared" si="94"/>
        <v>439.28159165815265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33.422972820663453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1.4367038266458938E-10</v>
      </c>
      <c r="CN99" s="22">
        <f t="shared" si="66"/>
        <v>33.422972820807125</v>
      </c>
      <c r="CO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4.8</v>
      </c>
      <c r="CT99" s="12">
        <f>IF('Données projet'!$A$140&gt;35,CT98+CS99-DB98,IF(A99&lt;'Données projet'!$A$140,$CQ$205^A99,IF(A99='Données projet'!$A$140,'Données projet'!$B$140,CT98+CS99-DB98)))</f>
        <v>262.79999999999984</v>
      </c>
      <c r="CU99" s="17">
        <f>CT99*VLOOKUP('Données projet'!$B$13,Paramètres!$A$1:$I$89,3,0)*VLOOKUP('Données projet'!$B$13,Paramètres!$A$1:$I$89,5,0)</f>
        <v>237.78143999999983</v>
      </c>
      <c r="CV99" s="13">
        <f t="shared" si="95"/>
        <v>57.9619387969109</v>
      </c>
      <c r="CW99" s="20">
        <f t="shared" si="67"/>
        <v>515.08638473795281</v>
      </c>
      <c r="CX99" s="57">
        <f t="shared" si="68"/>
        <v>808.41971807128607</v>
      </c>
      <c r="CY99" s="57">
        <f ca="1">AVERAGE(OFFSET($CX$3,0,0,'Données projet'!$E$13+1,1))-AVERAGE(OFFSET($H$3,0,0,'Données projet'!$E$13+1,1))</f>
        <v>364.3481978218424</v>
      </c>
      <c r="CZ99" s="57">
        <f t="shared" si="96"/>
        <v>231.36959598460686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68.000020473417706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68.000020473417706</v>
      </c>
      <c r="DJ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255.00000000000006</v>
      </c>
      <c r="DP99" s="17">
        <f>DO99*VLOOKUP('Données projet'!$B$14,Paramètres!$A$1:$I$89,3,0)*VLOOKUP('Données projet'!$B$14,Paramètres!$A$1:$I$89,5,0)</f>
        <v>186.96600000000004</v>
      </c>
      <c r="DQ99" s="13">
        <f t="shared" si="97"/>
        <v>46.868551400324648</v>
      </c>
      <c r="DR99" s="20">
        <f t="shared" si="70"/>
        <v>407.26184368889881</v>
      </c>
      <c r="DS99" s="57">
        <f t="shared" si="71"/>
        <v>700.59517702223206</v>
      </c>
      <c r="DT99" s="57">
        <f ca="1">AVERAGE(OFFSET($DS$3,0,0,'Données projet'!$E$14+1,1))-AVERAGE(OFFSET($H$3,0,0,'Données projet'!$E$14+1,1))</f>
        <v>239.25212250019609</v>
      </c>
      <c r="DU99" s="57">
        <f t="shared" si="98"/>
        <v>213.58492101729695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7.2</v>
      </c>
      <c r="EJ99" s="12">
        <f>IF('Données projet'!$A$192&gt;35,EJ98+EI99-ER98,IF(A99&lt;'Données projet'!$A$192,$EG$205^A99,IF(A99='Données projet'!$A$192,'Données projet'!$B$192,EJ98+EI99-ER98)))</f>
        <v>371.19999999999993</v>
      </c>
      <c r="EK99" s="17">
        <f>EJ99*VLOOKUP('Données projet'!$B$15,Paramètres!$A$1:$I$89,3,0)*VLOOKUP('Données projet'!$B$15,Paramètres!$A$1:$I$89,5,0)</f>
        <v>318.48959999999994</v>
      </c>
      <c r="EL99" s="13">
        <f t="shared" si="99"/>
        <v>75.038999086150227</v>
      </c>
      <c r="EM99" s="20">
        <f t="shared" si="73"/>
        <v>685.39564340837808</v>
      </c>
      <c r="EN99" s="57">
        <f t="shared" si="74"/>
        <v>978.72897674171145</v>
      </c>
      <c r="EO99" s="57">
        <f ca="1">AVERAGE(OFFSET($EN$3,0,0,'Données projet'!$E$15+1,1))-AVERAGE(OFFSET($H$3,0,0,'Données projet'!$E$15+1,1))</f>
        <v>447.10969593632467</v>
      </c>
      <c r="EP99" s="57">
        <f t="shared" si="100"/>
        <v>256.77417912163997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103.19610733264315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103.19610733264315</v>
      </c>
      <c r="EZ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7" t="e">
        <f t="shared" si="77"/>
        <v>#N/A</v>
      </c>
      <c r="FJ99" s="57" t="e">
        <f ca="1">AVERAGE(OFFSET($FI$3,0,0,'Données projet'!$E$16+1,1))-AVERAGE(OFFSET($H$3,0,0,'Données projet'!$E$16+1,1))</f>
        <v>#N/A</v>
      </c>
      <c r="FK99" s="57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7" t="e">
        <f t="shared" si="80"/>
        <v>#N/A</v>
      </c>
      <c r="GE99" s="57" t="e">
        <f ca="1">AVERAGE(OFFSET($GD$3,0,0,'Données projet'!$E$17+1,1))-AVERAGE(OFFSET($H$3,0,0,'Données projet'!$E$17+1,1))</f>
        <v>#N/A</v>
      </c>
      <c r="GF99" s="57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7" t="e">
        <f t="shared" si="83"/>
        <v>#N/A</v>
      </c>
      <c r="GZ99" s="57" t="e">
        <f ca="1">AVERAGE(OFFSET($GY$3,0,0,'Données projet'!$E$18+1,1))-AVERAGE(OFFSET($H$3,0,0,'Données projet'!$E$18+1,1))</f>
        <v>#N/A</v>
      </c>
      <c r="HA99" s="57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0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4">
        <f t="shared" si="56"/>
        <v>256.66666666666669</v>
      </c>
      <c r="I100" s="6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636.99999999999977</v>
      </c>
      <c r="O100" s="13">
        <f>N100*VLOOKUP('Données projet'!$B$9,Paramètres!$A$1:$I$89,3,0)*VLOOKUP('Données projet'!$B$9,Paramètres!$A$1:$I$89,5,0)</f>
        <v>356.08299999999991</v>
      </c>
      <c r="P100" s="13">
        <f t="shared" si="87"/>
        <v>82.813805255716545</v>
      </c>
      <c r="Q100" s="20">
        <f t="shared" si="107"/>
        <v>764.41193582037283</v>
      </c>
      <c r="R100" s="57">
        <f t="shared" si="55"/>
        <v>1057.7452691537062</v>
      </c>
      <c r="S100" s="57">
        <f ca="1">AVERAGE(OFFSET($R$3,0,0,'Données projet'!$E$9+1,1))-AVERAGE(OFFSET($H$3,0,0,'Données projet'!$E$9+1,1))</f>
        <v>443.34220761968419</v>
      </c>
      <c r="T100" s="57">
        <f t="shared" si="88"/>
        <v>546.58234447298014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46.967662563363284</v>
      </c>
      <c r="AA100" s="21">
        <f>EXP(-LN(2)/25)*AA99+(1-EXP(-LN(2)/25))/(LN(2)/25)*Calculateur!V100*Calculateur!X100*VLOOKUP('Données projet'!$B$9,Paramètres!$A$1:$I$89,3,0)*0.475*44/12</f>
        <v>3.4231258579205814</v>
      </c>
      <c r="AB100" s="21">
        <f>EXP(-LN(2)/2)*AB99+(1-EXP(-LN(2)/2))/(LN(2)/2)*V100*Y100*VLOOKUP('Données projet'!$B$9,Paramètres!$A$1:$I$89,3,0)*0.475*44/12</f>
        <v>4.9734901597743611E-10</v>
      </c>
      <c r="AC100" s="22">
        <f t="shared" si="57"/>
        <v>50.390788421781217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911.99999999999898</v>
      </c>
      <c r="AJ100" s="13">
        <f>AI100*VLOOKUP('Données projet'!$B$10,Paramètres!$A$1:$I$89,3,0)*VLOOKUP('Données projet'!$B$10,Paramètres!$A$1:$I$89,5,0)</f>
        <v>426.81599999999946</v>
      </c>
      <c r="AK100" s="13">
        <f t="shared" si="89"/>
        <v>97.192496986872399</v>
      </c>
      <c r="AL100" s="20">
        <f t="shared" si="58"/>
        <v>912.64813225213504</v>
      </c>
      <c r="AM100" s="57">
        <f t="shared" si="59"/>
        <v>1205.9814655854684</v>
      </c>
      <c r="AN100" s="57">
        <f ca="1">AVERAGE(OFFSET($AM$3,0,0,'Données projet'!$E$10+1,1))-AVERAGE(OFFSET($H$3,0,0,'Données projet'!$E$10+1,1))</f>
        <v>524.3999528951972</v>
      </c>
      <c r="AO100" s="57">
        <f t="shared" si="90"/>
        <v>459.3547783500515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106.13999303697875</v>
      </c>
      <c r="AV100" s="21">
        <f>EXP(-LN(2)/25)*AV99+(1-EXP(-LN(2)/25))/(LN(2)/25)*Calculateur!AQ100*Calculateur!AS100*VLOOKUP('Données projet'!$B$10,Paramètres!$A$1:$I$89,3,0)*0.475*44/12</f>
        <v>8.3389600023010377</v>
      </c>
      <c r="AW100" s="21">
        <f>EXP(-LN(2)/2)*AW99+(1-EXP(-LN(2)/2))/(LN(2)/2)*AQ100*AT100*VLOOKUP('Données projet'!$B$10,Paramètres!$A$1:$I$89,3,0)*0.475*44/12</f>
        <v>9.8142938180679471E-11</v>
      </c>
      <c r="AX100" s="21">
        <f t="shared" si="60"/>
        <v>114.47895303937793</v>
      </c>
      <c r="AY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852.00000000000011</v>
      </c>
      <c r="BE100" s="13">
        <f>BD100*VLOOKUP('Données projet'!$B$11,Paramètres!$A$1:$I$89,3,0)*VLOOKUP('Données projet'!$B$11,Paramètres!$A$1:$I$89,5,0)</f>
        <v>409.81200000000013</v>
      </c>
      <c r="BF100" s="13">
        <f t="shared" si="91"/>
        <v>93.76308331402879</v>
      </c>
      <c r="BG100" s="20">
        <f t="shared" si="61"/>
        <v>877.05993677193362</v>
      </c>
      <c r="BH100" s="57">
        <f t="shared" si="62"/>
        <v>1170.393270105267</v>
      </c>
      <c r="BI100" s="57">
        <f ca="1">AVERAGE(OFFSET($BH$3,0,0,'Données projet'!$E$11+1,1))-AVERAGE(OFFSET($H$3,0,0,'Données projet'!$E$11+1,1))</f>
        <v>495.6473104257044</v>
      </c>
      <c r="BJ100" s="57">
        <f t="shared" si="92"/>
        <v>430.92527296485201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110.57185482261038</v>
      </c>
      <c r="BQ100" s="21">
        <f>EXP(-LN(2)/25)*BQ99+(1-EXP(-LN(2)/25))/(LN(2)/25)*Calculateur!BL100*Calculateur!BN100*VLOOKUP('Données projet'!$B$11,Paramètres!$A$1:$I$89,3,0)*0.475*44/12</f>
        <v>7.8563812984641697</v>
      </c>
      <c r="BR100" s="21">
        <f>EXP(-LN(2)/2)*BR99+(1-EXP(-LN(2)/2))/(LN(2)/2)*BL100*BO100*VLOOKUP('Données projet'!$B$11,Paramètres!$A$1:$I$89,3,0)*0.475*44/12</f>
        <v>6.024128651445257E-11</v>
      </c>
      <c r="BS100" s="22">
        <f t="shared" si="63"/>
        <v>118.42823612113479</v>
      </c>
      <c r="BT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7" t="e">
        <f t="shared" si="65"/>
        <v>#NUM!</v>
      </c>
      <c r="CD100" s="57">
        <f ca="1">AVERAGE(OFFSET($CC$3,0,0,'Données projet'!$E$12+1,1))-AVERAGE(OFFSET($H$3,0,0,'Données projet'!$E$12+1,1))</f>
        <v>187.80389738728508</v>
      </c>
      <c r="CE100" s="57">
        <f t="shared" si="94"/>
        <v>439.28159165815265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32.76756870965071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1.0159030183779735E-10</v>
      </c>
      <c r="CN100" s="22">
        <f t="shared" si="66"/>
        <v>32.767568709752304</v>
      </c>
      <c r="CO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4.8</v>
      </c>
      <c r="CT100" s="12">
        <f>IF('Données projet'!$A$140&gt;35,CT99+CS100-DB99,IF(A100&lt;'Données projet'!$A$140,$CQ$205^A100,IF(A100='Données projet'!$A$140,'Données projet'!$B$140,CT99+CS100-DB99)))</f>
        <v>267.59999999999985</v>
      </c>
      <c r="CU100" s="17">
        <f>CT100*VLOOKUP('Données projet'!$B$13,Paramètres!$A$1:$I$89,3,0)*VLOOKUP('Données projet'!$B$13,Paramètres!$A$1:$I$89,5,0)</f>
        <v>242.12447999999986</v>
      </c>
      <c r="CV100" s="13">
        <f t="shared" si="95"/>
        <v>58.896387987806008</v>
      </c>
      <c r="CW100" s="20">
        <f t="shared" si="67"/>
        <v>524.27801174542856</v>
      </c>
      <c r="CX100" s="57">
        <f t="shared" si="68"/>
        <v>817.61134507876181</v>
      </c>
      <c r="CY100" s="57">
        <f ca="1">AVERAGE(OFFSET($CX$3,0,0,'Données projet'!$E$13+1,1))-AVERAGE(OFFSET($H$3,0,0,'Données projet'!$E$13+1,1))</f>
        <v>364.3481978218424</v>
      </c>
      <c r="CZ100" s="57">
        <f t="shared" si="96"/>
        <v>231.36959598460686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66.666581547851067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66.666581547851067</v>
      </c>
      <c r="DJ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255.00000000000006</v>
      </c>
      <c r="DP100" s="17">
        <f>DO100*VLOOKUP('Données projet'!$B$14,Paramètres!$A$1:$I$89,3,0)*VLOOKUP('Données projet'!$B$14,Paramètres!$A$1:$I$89,5,0)</f>
        <v>186.96600000000004</v>
      </c>
      <c r="DQ100" s="13">
        <f t="shared" si="97"/>
        <v>46.868551400324648</v>
      </c>
      <c r="DR100" s="20">
        <f t="shared" si="70"/>
        <v>407.26184368889881</v>
      </c>
      <c r="DS100" s="57">
        <f t="shared" si="71"/>
        <v>700.59517702223206</v>
      </c>
      <c r="DT100" s="57">
        <f ca="1">AVERAGE(OFFSET($DS$3,0,0,'Données projet'!$E$14+1,1))-AVERAGE(OFFSET($H$3,0,0,'Données projet'!$E$14+1,1))</f>
        <v>239.25212250019609</v>
      </c>
      <c r="DU100" s="57">
        <f t="shared" si="98"/>
        <v>213.58492101729695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7.2</v>
      </c>
      <c r="EJ100" s="12">
        <f>IF('Données projet'!$A$192&gt;35,EJ99+EI100-ER99,IF(A100&lt;'Données projet'!$A$192,$EG$205^A100,IF(A100='Données projet'!$A$192,'Données projet'!$B$192,EJ99+EI100-ER99)))</f>
        <v>378.39999999999992</v>
      </c>
      <c r="EK100" s="17">
        <f>EJ100*VLOOKUP('Données projet'!$B$15,Paramètres!$A$1:$I$89,3,0)*VLOOKUP('Données projet'!$B$15,Paramètres!$A$1:$I$89,5,0)</f>
        <v>324.66719999999998</v>
      </c>
      <c r="EL100" s="13">
        <f t="shared" si="99"/>
        <v>76.323635512638404</v>
      </c>
      <c r="EM100" s="20">
        <f t="shared" si="73"/>
        <v>698.39237185117838</v>
      </c>
      <c r="EN100" s="57">
        <f t="shared" si="74"/>
        <v>991.72570518451175</v>
      </c>
      <c r="EO100" s="57">
        <f ca="1">AVERAGE(OFFSET($EN$3,0,0,'Données projet'!$E$15+1,1))-AVERAGE(OFFSET($H$3,0,0,'Données projet'!$E$15+1,1))</f>
        <v>447.10969593632467</v>
      </c>
      <c r="EP100" s="57">
        <f t="shared" si="100"/>
        <v>256.77417912163997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101.17249461126035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101.17249461126035</v>
      </c>
      <c r="EZ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7" t="e">
        <f t="shared" si="77"/>
        <v>#N/A</v>
      </c>
      <c r="FJ100" s="57" t="e">
        <f ca="1">AVERAGE(OFFSET($FI$3,0,0,'Données projet'!$E$16+1,1))-AVERAGE(OFFSET($H$3,0,0,'Données projet'!$E$16+1,1))</f>
        <v>#N/A</v>
      </c>
      <c r="FK100" s="57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7" t="e">
        <f t="shared" si="80"/>
        <v>#N/A</v>
      </c>
      <c r="GE100" s="57" t="e">
        <f ca="1">AVERAGE(OFFSET($GD$3,0,0,'Données projet'!$E$17+1,1))-AVERAGE(OFFSET($H$3,0,0,'Données projet'!$E$17+1,1))</f>
        <v>#N/A</v>
      </c>
      <c r="GF100" s="57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7" t="e">
        <f t="shared" si="83"/>
        <v>#N/A</v>
      </c>
      <c r="GZ100" s="57" t="e">
        <f ca="1">AVERAGE(OFFSET($GY$3,0,0,'Données projet'!$E$18+1,1))-AVERAGE(OFFSET($H$3,0,0,'Données projet'!$E$18+1,1))</f>
        <v>#N/A</v>
      </c>
      <c r="HA100" s="57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0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4">
        <f t="shared" si="56"/>
        <v>256.66666666666669</v>
      </c>
      <c r="I101" s="6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636.99999999999977</v>
      </c>
      <c r="O101" s="13">
        <f>N101*VLOOKUP('Données projet'!$B$9,Paramètres!$A$1:$I$89,3,0)*VLOOKUP('Données projet'!$B$9,Paramètres!$A$1:$I$89,5,0)</f>
        <v>356.08299999999991</v>
      </c>
      <c r="P101" s="13">
        <f t="shared" si="87"/>
        <v>82.813805255716545</v>
      </c>
      <c r="Q101" s="20">
        <f t="shared" si="107"/>
        <v>764.41193582037283</v>
      </c>
      <c r="R101" s="57">
        <f t="shared" si="55"/>
        <v>1057.7452691537062</v>
      </c>
      <c r="S101" s="57">
        <f ca="1">AVERAGE(OFFSET($R$3,0,0,'Données projet'!$E$9+1,1))-AVERAGE(OFFSET($H$3,0,0,'Données projet'!$E$9+1,1))</f>
        <v>443.34220761968419</v>
      </c>
      <c r="T101" s="57">
        <f t="shared" si="88"/>
        <v>546.58234447298014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46.04665534794119</v>
      </c>
      <c r="AA101" s="21">
        <f>EXP(-LN(2)/25)*AA100+(1-EXP(-LN(2)/25))/(LN(2)/25)*Calculateur!V101*Calculateur!X101*VLOOKUP('Données projet'!$B$9,Paramètres!$A$1:$I$89,3,0)*0.475*44/12</f>
        <v>3.3295203013213781</v>
      </c>
      <c r="AB101" s="21">
        <f>EXP(-LN(2)/2)*AB100+(1-EXP(-LN(2)/2))/(LN(2)/2)*V101*Y101*VLOOKUP('Données projet'!$B$9,Paramètres!$A$1:$I$89,3,0)*0.475*44/12</f>
        <v>3.5167886181410165E-10</v>
      </c>
      <c r="AC101" s="22">
        <f t="shared" si="57"/>
        <v>49.376175649614247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911.99999999999898</v>
      </c>
      <c r="AJ101" s="13">
        <f>AI101*VLOOKUP('Données projet'!$B$10,Paramètres!$A$1:$I$89,3,0)*VLOOKUP('Données projet'!$B$10,Paramètres!$A$1:$I$89,5,0)</f>
        <v>426.81599999999946</v>
      </c>
      <c r="AK101" s="13">
        <f t="shared" si="89"/>
        <v>97.192496986872399</v>
      </c>
      <c r="AL101" s="20">
        <f t="shared" si="58"/>
        <v>912.64813225213504</v>
      </c>
      <c r="AM101" s="57">
        <f t="shared" si="59"/>
        <v>1205.9814655854684</v>
      </c>
      <c r="AN101" s="57">
        <f ca="1">AVERAGE(OFFSET($AM$3,0,0,'Données projet'!$E$10+1,1))-AVERAGE(OFFSET($H$3,0,0,'Données projet'!$E$10+1,1))</f>
        <v>524.3999528951972</v>
      </c>
      <c r="AO101" s="57">
        <f t="shared" si="90"/>
        <v>459.3547783500515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104.0586525125269</v>
      </c>
      <c r="AV101" s="21">
        <f>EXP(-LN(2)/25)*AV100+(1-EXP(-LN(2)/25))/(LN(2)/25)*Calculateur!AQ101*Calculateur!AS101*VLOOKUP('Données projet'!$B$10,Paramètres!$A$1:$I$89,3,0)*0.475*44/12</f>
        <v>8.1109307025112685</v>
      </c>
      <c r="AW101" s="21">
        <f>EXP(-LN(2)/2)*AW100+(1-EXP(-LN(2)/2))/(LN(2)/2)*AQ101*AT101*VLOOKUP('Données projet'!$B$10,Paramètres!$A$1:$I$89,3,0)*0.475*44/12</f>
        <v>6.9397537113130579E-11</v>
      </c>
      <c r="AX101" s="21">
        <f t="shared" si="60"/>
        <v>112.16958321510756</v>
      </c>
      <c r="AY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852.00000000000011</v>
      </c>
      <c r="BE101" s="13">
        <f>BD101*VLOOKUP('Données projet'!$B$11,Paramètres!$A$1:$I$89,3,0)*VLOOKUP('Données projet'!$B$11,Paramètres!$A$1:$I$89,5,0)</f>
        <v>409.81200000000013</v>
      </c>
      <c r="BF101" s="13">
        <f t="shared" si="91"/>
        <v>93.76308331402879</v>
      </c>
      <c r="BG101" s="20">
        <f t="shared" si="61"/>
        <v>877.05993677193362</v>
      </c>
      <c r="BH101" s="57">
        <f t="shared" si="62"/>
        <v>1170.393270105267</v>
      </c>
      <c r="BI101" s="57">
        <f ca="1">AVERAGE(OFFSET($BH$3,0,0,'Données projet'!$E$11+1,1))-AVERAGE(OFFSET($H$3,0,0,'Données projet'!$E$11+1,1))</f>
        <v>495.6473104257044</v>
      </c>
      <c r="BJ101" s="57">
        <f t="shared" si="92"/>
        <v>430.92527296485201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108.40360819171107</v>
      </c>
      <c r="BQ101" s="21">
        <f>EXP(-LN(2)/25)*BQ100+(1-EXP(-LN(2)/25))/(LN(2)/25)*Calculateur!BL101*Calculateur!BN101*VLOOKUP('Données projet'!$B$11,Paramètres!$A$1:$I$89,3,0)*0.475*44/12</f>
        <v>7.6415481387085302</v>
      </c>
      <c r="BR101" s="21">
        <f>EXP(-LN(2)/2)*BR100+(1-EXP(-LN(2)/2))/(LN(2)/2)*BL101*BO101*VLOOKUP('Données projet'!$B$11,Paramètres!$A$1:$I$89,3,0)*0.475*44/12</f>
        <v>4.259702220177113E-11</v>
      </c>
      <c r="BS101" s="22">
        <f t="shared" si="63"/>
        <v>116.04515633046219</v>
      </c>
      <c r="BT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7" t="e">
        <f t="shared" si="65"/>
        <v>#NUM!</v>
      </c>
      <c r="CD101" s="57">
        <f ca="1">AVERAGE(OFFSET($CC$3,0,0,'Données projet'!$E$12+1,1))-AVERAGE(OFFSET($H$3,0,0,'Données projet'!$E$12+1,1))</f>
        <v>187.80389738728508</v>
      </c>
      <c r="CE101" s="57">
        <f t="shared" si="94"/>
        <v>439.28159165815265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32.125016673497896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7.1835191332294689E-11</v>
      </c>
      <c r="CN101" s="22">
        <f t="shared" si="66"/>
        <v>32.125016673569732</v>
      </c>
      <c r="CO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4.8</v>
      </c>
      <c r="CT101" s="12">
        <f>IF('Données projet'!$A$140&gt;35,CT100+CS101-DB100,IF(A101&lt;'Données projet'!$A$140,$CQ$205^A101,IF(A101='Données projet'!$A$140,'Données projet'!$B$140,CT100+CS101-DB100)))</f>
        <v>272.39999999999986</v>
      </c>
      <c r="CU101" s="17">
        <f>CT101*VLOOKUP('Données projet'!$B$13,Paramètres!$A$1:$I$89,3,0)*VLOOKUP('Données projet'!$B$13,Paramètres!$A$1:$I$89,5,0)</f>
        <v>246.46751999999987</v>
      </c>
      <c r="CV101" s="13">
        <f t="shared" si="95"/>
        <v>59.828888074216977</v>
      </c>
      <c r="CW101" s="20">
        <f t="shared" si="67"/>
        <v>533.46624406259423</v>
      </c>
      <c r="CX101" s="57">
        <f t="shared" si="68"/>
        <v>826.7995773959276</v>
      </c>
      <c r="CY101" s="57">
        <f ca="1">AVERAGE(OFFSET($CX$3,0,0,'Données projet'!$E$13+1,1))-AVERAGE(OFFSET($H$3,0,0,'Données projet'!$E$13+1,1))</f>
        <v>364.3481978218424</v>
      </c>
      <c r="CZ101" s="57">
        <f t="shared" si="96"/>
        <v>231.36959598460686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65.359290546297359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65.359290546297359</v>
      </c>
      <c r="DJ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255.00000000000006</v>
      </c>
      <c r="DP101" s="17">
        <f>DO101*VLOOKUP('Données projet'!$B$14,Paramètres!$A$1:$I$89,3,0)*VLOOKUP('Données projet'!$B$14,Paramètres!$A$1:$I$89,5,0)</f>
        <v>186.96600000000004</v>
      </c>
      <c r="DQ101" s="13">
        <f t="shared" si="97"/>
        <v>46.868551400324648</v>
      </c>
      <c r="DR101" s="20">
        <f t="shared" si="70"/>
        <v>407.26184368889881</v>
      </c>
      <c r="DS101" s="57">
        <f t="shared" si="71"/>
        <v>700.59517702223206</v>
      </c>
      <c r="DT101" s="57">
        <f ca="1">AVERAGE(OFFSET($DS$3,0,0,'Données projet'!$E$14+1,1))-AVERAGE(OFFSET($H$3,0,0,'Données projet'!$E$14+1,1))</f>
        <v>239.25212250019609</v>
      </c>
      <c r="DU101" s="57">
        <f t="shared" si="98"/>
        <v>213.58492101729695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7.2</v>
      </c>
      <c r="EJ101" s="12">
        <f>IF('Données projet'!$A$192&gt;35,EJ100+EI101-ER100,IF(A101&lt;'Données projet'!$A$192,$EG$205^A101,IF(A101='Données projet'!$A$192,'Données projet'!$B$192,EJ100+EI101-ER100)))</f>
        <v>385.59999999999991</v>
      </c>
      <c r="EK101" s="17">
        <f>EJ101*VLOOKUP('Données projet'!$B$15,Paramètres!$A$1:$I$89,3,0)*VLOOKUP('Données projet'!$B$15,Paramètres!$A$1:$I$89,5,0)</f>
        <v>330.84479999999996</v>
      </c>
      <c r="EL101" s="13">
        <f t="shared" si="99"/>
        <v>77.605429694617001</v>
      </c>
      <c r="EM101" s="20">
        <f t="shared" si="73"/>
        <v>711.38415005145782</v>
      </c>
      <c r="EN101" s="57">
        <f t="shared" si="74"/>
        <v>1004.7174833847912</v>
      </c>
      <c r="EO101" s="57">
        <f ca="1">AVERAGE(OFFSET($EN$3,0,0,'Données projet'!$E$15+1,1))-AVERAGE(OFFSET($H$3,0,0,'Données projet'!$E$15+1,1))</f>
        <v>447.10969593632467</v>
      </c>
      <c r="EP101" s="57">
        <f t="shared" si="100"/>
        <v>256.77417912163997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99.18856370106198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99.18856370106198</v>
      </c>
      <c r="EZ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7" t="e">
        <f t="shared" si="77"/>
        <v>#N/A</v>
      </c>
      <c r="FJ101" s="57" t="e">
        <f ca="1">AVERAGE(OFFSET($FI$3,0,0,'Données projet'!$E$16+1,1))-AVERAGE(OFFSET($H$3,0,0,'Données projet'!$E$16+1,1))</f>
        <v>#N/A</v>
      </c>
      <c r="FK101" s="57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7" t="e">
        <f t="shared" si="80"/>
        <v>#N/A</v>
      </c>
      <c r="GE101" s="57" t="e">
        <f ca="1">AVERAGE(OFFSET($GD$3,0,0,'Données projet'!$E$17+1,1))-AVERAGE(OFFSET($H$3,0,0,'Données projet'!$E$17+1,1))</f>
        <v>#N/A</v>
      </c>
      <c r="GF101" s="57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7" t="e">
        <f t="shared" si="83"/>
        <v>#N/A</v>
      </c>
      <c r="GZ101" s="57" t="e">
        <f ca="1">AVERAGE(OFFSET($GY$3,0,0,'Données projet'!$E$18+1,1))-AVERAGE(OFFSET($H$3,0,0,'Données projet'!$E$18+1,1))</f>
        <v>#N/A</v>
      </c>
      <c r="HA101" s="57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0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4">
        <f t="shared" si="56"/>
        <v>256.66666666666669</v>
      </c>
      <c r="I102" s="6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636.99999999999977</v>
      </c>
      <c r="O102" s="13">
        <f>N102*VLOOKUP('Données projet'!$B$9,Paramètres!$A$1:$I$89,3,0)*VLOOKUP('Données projet'!$B$9,Paramètres!$A$1:$I$89,5,0)</f>
        <v>356.08299999999991</v>
      </c>
      <c r="P102" s="13">
        <f t="shared" si="87"/>
        <v>82.813805255716545</v>
      </c>
      <c r="Q102" s="20">
        <f t="shared" si="107"/>
        <v>764.41193582037283</v>
      </c>
      <c r="R102" s="57">
        <f t="shared" si="55"/>
        <v>1057.7452691537062</v>
      </c>
      <c r="S102" s="57">
        <f ca="1">AVERAGE(OFFSET($R$3,0,0,'Données projet'!$E$9+1,1))-AVERAGE(OFFSET($H$3,0,0,'Données projet'!$E$9+1,1))</f>
        <v>443.34220761968419</v>
      </c>
      <c r="T102" s="57">
        <f t="shared" si="88"/>
        <v>546.58234447298014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45.143708522254592</v>
      </c>
      <c r="AA102" s="21">
        <f>EXP(-LN(2)/25)*AA101+(1-EXP(-LN(2)/25))/(LN(2)/25)*Calculateur!V102*Calculateur!X102*VLOOKUP('Données projet'!$B$9,Paramètres!$A$1:$I$89,3,0)*0.475*44/12</f>
        <v>3.2384743935898821</v>
      </c>
      <c r="AB102" s="21">
        <f>EXP(-LN(2)/2)*AB101+(1-EXP(-LN(2)/2))/(LN(2)/2)*V102*Y102*VLOOKUP('Données projet'!$B$9,Paramètres!$A$1:$I$89,3,0)*0.475*44/12</f>
        <v>2.4867450798871805E-10</v>
      </c>
      <c r="AC102" s="22">
        <f t="shared" si="57"/>
        <v>48.38218291609315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911.99999999999898</v>
      </c>
      <c r="AJ102" s="13">
        <f>AI102*VLOOKUP('Données projet'!$B$10,Paramètres!$A$1:$I$89,3,0)*VLOOKUP('Données projet'!$B$10,Paramètres!$A$1:$I$89,5,0)</f>
        <v>426.81599999999946</v>
      </c>
      <c r="AK102" s="13">
        <f t="shared" si="89"/>
        <v>97.192496986872399</v>
      </c>
      <c r="AL102" s="20">
        <f t="shared" si="58"/>
        <v>912.64813225213504</v>
      </c>
      <c r="AM102" s="57">
        <f t="shared" si="59"/>
        <v>1205.9814655854684</v>
      </c>
      <c r="AN102" s="57">
        <f ca="1">AVERAGE(OFFSET($AM$3,0,0,'Données projet'!$E$10+1,1))-AVERAGE(OFFSET($H$3,0,0,'Données projet'!$E$10+1,1))</f>
        <v>524.3999528951972</v>
      </c>
      <c r="AO102" s="57">
        <f t="shared" si="90"/>
        <v>459.3547783500515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102.01812580626719</v>
      </c>
      <c r="AV102" s="21">
        <f>EXP(-LN(2)/25)*AV101+(1-EXP(-LN(2)/25))/(LN(2)/25)*Calculateur!AQ102*Calculateur!AS102*VLOOKUP('Données projet'!$B$10,Paramètres!$A$1:$I$89,3,0)*0.475*44/12</f>
        <v>7.8891368759157903</v>
      </c>
      <c r="AW102" s="21">
        <f>EXP(-LN(2)/2)*AW101+(1-EXP(-LN(2)/2))/(LN(2)/2)*AQ102*AT102*VLOOKUP('Données projet'!$B$10,Paramètres!$A$1:$I$89,3,0)*0.475*44/12</f>
        <v>4.9071469090339735E-11</v>
      </c>
      <c r="AX102" s="21">
        <f t="shared" si="60"/>
        <v>109.90726268223206</v>
      </c>
      <c r="AY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852.00000000000011</v>
      </c>
      <c r="BE102" s="13">
        <f>BD102*VLOOKUP('Données projet'!$B$11,Paramètres!$A$1:$I$89,3,0)*VLOOKUP('Données projet'!$B$11,Paramètres!$A$1:$I$89,5,0)</f>
        <v>409.81200000000013</v>
      </c>
      <c r="BF102" s="13">
        <f t="shared" si="91"/>
        <v>93.76308331402879</v>
      </c>
      <c r="BG102" s="20">
        <f t="shared" si="61"/>
        <v>877.05993677193362</v>
      </c>
      <c r="BH102" s="57">
        <f t="shared" si="62"/>
        <v>1170.393270105267</v>
      </c>
      <c r="BI102" s="57">
        <f ca="1">AVERAGE(OFFSET($BH$3,0,0,'Données projet'!$E$11+1,1))-AVERAGE(OFFSET($H$3,0,0,'Données projet'!$E$11+1,1))</f>
        <v>495.6473104257044</v>
      </c>
      <c r="BJ102" s="57">
        <f t="shared" si="92"/>
        <v>430.92527296485201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106.27787955474383</v>
      </c>
      <c r="BQ102" s="21">
        <f>EXP(-LN(2)/25)*BQ101+(1-EXP(-LN(2)/25))/(LN(2)/25)*Calculateur!BL102*Calculateur!BN102*VLOOKUP('Données projet'!$B$11,Paramètres!$A$1:$I$89,3,0)*0.475*44/12</f>
        <v>7.4325896030039935</v>
      </c>
      <c r="BR102" s="21">
        <f>EXP(-LN(2)/2)*BR101+(1-EXP(-LN(2)/2))/(LN(2)/2)*BL102*BO102*VLOOKUP('Données projet'!$B$11,Paramètres!$A$1:$I$89,3,0)*0.475*44/12</f>
        <v>3.0120643257226285E-11</v>
      </c>
      <c r="BS102" s="22">
        <f t="shared" si="63"/>
        <v>113.71046915777795</v>
      </c>
      <c r="BT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7" t="e">
        <f t="shared" si="65"/>
        <v>#NUM!</v>
      </c>
      <c r="CD102" s="57">
        <f ca="1">AVERAGE(OFFSET($CC$3,0,0,'Données projet'!$E$12+1,1))-AVERAGE(OFFSET($H$3,0,0,'Données projet'!$E$12+1,1))</f>
        <v>187.80389738728508</v>
      </c>
      <c r="CE102" s="57">
        <f t="shared" si="94"/>
        <v>439.28159165815265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31.495064690855994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5.0795150918898677E-11</v>
      </c>
      <c r="CN102" s="22">
        <f t="shared" si="66"/>
        <v>31.495064690906791</v>
      </c>
      <c r="CO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4.8</v>
      </c>
      <c r="CT102" s="12">
        <f>IF('Données projet'!$A$140&gt;35,CT101+CS102-DB101,IF(A102&lt;'Données projet'!$A$140,$CQ$205^A102,IF(A102='Données projet'!$A$140,'Données projet'!$B$140,CT101+CS102-DB101)))</f>
        <v>277.19999999999987</v>
      </c>
      <c r="CU102" s="17">
        <f>CT102*VLOOKUP('Données projet'!$B$13,Paramètres!$A$1:$I$89,3,0)*VLOOKUP('Données projet'!$B$13,Paramètres!$A$1:$I$89,5,0)</f>
        <v>250.8105599999999</v>
      </c>
      <c r="CV102" s="13">
        <f t="shared" si="95"/>
        <v>60.75947736410869</v>
      </c>
      <c r="CW102" s="20">
        <f t="shared" si="67"/>
        <v>542.65114840915578</v>
      </c>
      <c r="CX102" s="57">
        <f t="shared" si="68"/>
        <v>835.98448174248915</v>
      </c>
      <c r="CY102" s="57">
        <f ca="1">AVERAGE(OFFSET($CX$3,0,0,'Données projet'!$E$13+1,1))-AVERAGE(OFFSET($H$3,0,0,'Données projet'!$E$13+1,1))</f>
        <v>364.3481978218424</v>
      </c>
      <c r="CZ102" s="57">
        <f t="shared" si="96"/>
        <v>231.36959598460686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64.077634723915338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64.077634723915338</v>
      </c>
      <c r="DJ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255.00000000000006</v>
      </c>
      <c r="DP102" s="17">
        <f>DO102*VLOOKUP('Données projet'!$B$14,Paramètres!$A$1:$I$89,3,0)*VLOOKUP('Données projet'!$B$14,Paramètres!$A$1:$I$89,5,0)</f>
        <v>186.96600000000004</v>
      </c>
      <c r="DQ102" s="13">
        <f t="shared" si="97"/>
        <v>46.868551400324648</v>
      </c>
      <c r="DR102" s="20">
        <f t="shared" si="70"/>
        <v>407.26184368889881</v>
      </c>
      <c r="DS102" s="57">
        <f t="shared" si="71"/>
        <v>700.59517702223206</v>
      </c>
      <c r="DT102" s="57">
        <f ca="1">AVERAGE(OFFSET($DS$3,0,0,'Données projet'!$E$14+1,1))-AVERAGE(OFFSET($H$3,0,0,'Données projet'!$E$14+1,1))</f>
        <v>239.25212250019609</v>
      </c>
      <c r="DU102" s="57">
        <f t="shared" si="98"/>
        <v>213.58492101729695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7.2</v>
      </c>
      <c r="EJ102" s="12">
        <f>IF('Données projet'!$A$192&gt;35,EJ101+EI102-ER101,IF(A102&lt;'Données projet'!$A$192,$EG$205^A102,IF(A102='Données projet'!$A$192,'Données projet'!$B$192,EJ101+EI102-ER101)))</f>
        <v>392.7999999999999</v>
      </c>
      <c r="EK102" s="17">
        <f>EJ102*VLOOKUP('Données projet'!$B$15,Paramètres!$A$1:$I$89,3,0)*VLOOKUP('Données projet'!$B$15,Paramètres!$A$1:$I$89,5,0)</f>
        <v>337.02239999999995</v>
      </c>
      <c r="EL102" s="13">
        <f t="shared" si="99"/>
        <v>78.884440823098231</v>
      </c>
      <c r="EM102" s="20">
        <f t="shared" si="73"/>
        <v>724.37108110022928</v>
      </c>
      <c r="EN102" s="57">
        <f t="shared" si="74"/>
        <v>1017.7044144335625</v>
      </c>
      <c r="EO102" s="57">
        <f ca="1">AVERAGE(OFFSET($EN$3,0,0,'Données projet'!$E$15+1,1))-AVERAGE(OFFSET($H$3,0,0,'Données projet'!$E$15+1,1))</f>
        <v>447.10969593632467</v>
      </c>
      <c r="EP102" s="57">
        <f t="shared" si="100"/>
        <v>256.77417912163997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97.243536465934227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97.243536465934227</v>
      </c>
      <c r="EZ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7" t="e">
        <f t="shared" si="77"/>
        <v>#N/A</v>
      </c>
      <c r="FJ102" s="57" t="e">
        <f ca="1">AVERAGE(OFFSET($FI$3,0,0,'Données projet'!$E$16+1,1))-AVERAGE(OFFSET($H$3,0,0,'Données projet'!$E$16+1,1))</f>
        <v>#N/A</v>
      </c>
      <c r="FK102" s="57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7" t="e">
        <f t="shared" si="80"/>
        <v>#N/A</v>
      </c>
      <c r="GE102" s="57" t="e">
        <f ca="1">AVERAGE(OFFSET($GD$3,0,0,'Données projet'!$E$17+1,1))-AVERAGE(OFFSET($H$3,0,0,'Données projet'!$E$17+1,1))</f>
        <v>#N/A</v>
      </c>
      <c r="GF102" s="57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7" t="e">
        <f t="shared" si="83"/>
        <v>#N/A</v>
      </c>
      <c r="GZ102" s="57" t="e">
        <f ca="1">AVERAGE(OFFSET($GY$3,0,0,'Données projet'!$E$18+1,1))-AVERAGE(OFFSET($H$3,0,0,'Données projet'!$E$18+1,1))</f>
        <v>#N/A</v>
      </c>
      <c r="HA102" s="57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0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4">
        <f t="shared" si="56"/>
        <v>256.66666666666669</v>
      </c>
      <c r="I103" s="6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636.99999999999977</v>
      </c>
      <c r="O103" s="13">
        <f>N103*VLOOKUP('Données projet'!$B$9,Paramètres!$A$1:$I$89,3,0)*VLOOKUP('Données projet'!$B$9,Paramètres!$A$1:$I$89,5,0)</f>
        <v>356.08299999999991</v>
      </c>
      <c r="P103" s="13">
        <f t="shared" si="87"/>
        <v>82.813805255716545</v>
      </c>
      <c r="Q103" s="20">
        <f t="shared" si="107"/>
        <v>764.41193582037283</v>
      </c>
      <c r="R103" s="57">
        <f t="shared" si="55"/>
        <v>1057.7452691537062</v>
      </c>
      <c r="S103" s="57">
        <f ca="1">AVERAGE(OFFSET($R$3,0,0,'Données projet'!$E$9+1,1))-AVERAGE(OFFSET($H$3,0,0,'Données projet'!$E$9+1,1))</f>
        <v>443.34220761968419</v>
      </c>
      <c r="T103" s="57">
        <f t="shared" si="88"/>
        <v>546.58234447298014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44.258467933076531</v>
      </c>
      <c r="AA103" s="21">
        <f>EXP(-LN(2)/25)*AA102+(1-EXP(-LN(2)/25))/(LN(2)/25)*Calculateur!V103*Calculateur!X103*VLOOKUP('Données projet'!$B$9,Paramètres!$A$1:$I$89,3,0)*0.475*44/12</f>
        <v>3.1499181409932002</v>
      </c>
      <c r="AB103" s="21">
        <f>EXP(-LN(2)/2)*AB102+(1-EXP(-LN(2)/2))/(LN(2)/2)*V103*Y103*VLOOKUP('Données projet'!$B$9,Paramètres!$A$1:$I$89,3,0)*0.475*44/12</f>
        <v>1.7583943090705082E-10</v>
      </c>
      <c r="AC103" s="22">
        <f t="shared" si="57"/>
        <v>47.40838607424557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911.99999999999898</v>
      </c>
      <c r="AJ103" s="13">
        <f>AI103*VLOOKUP('Données projet'!$B$10,Paramètres!$A$1:$I$89,3,0)*VLOOKUP('Données projet'!$B$10,Paramètres!$A$1:$I$89,5,0)</f>
        <v>426.81599999999946</v>
      </c>
      <c r="AK103" s="13">
        <f t="shared" si="89"/>
        <v>97.192496986872399</v>
      </c>
      <c r="AL103" s="20">
        <f t="shared" si="58"/>
        <v>912.64813225213504</v>
      </c>
      <c r="AM103" s="57">
        <f t="shared" si="59"/>
        <v>1205.9814655854684</v>
      </c>
      <c r="AN103" s="57">
        <f ca="1">AVERAGE(OFFSET($AM$3,0,0,'Données projet'!$E$10+1,1))-AVERAGE(OFFSET($H$3,0,0,'Données projet'!$E$10+1,1))</f>
        <v>524.3999528951972</v>
      </c>
      <c r="AO103" s="57">
        <f t="shared" si="90"/>
        <v>459.3547783500515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100.01761258411884</v>
      </c>
      <c r="AV103" s="21">
        <f>EXP(-LN(2)/25)*AV102+(1-EXP(-LN(2)/25))/(LN(2)/25)*Calculateur!AQ103*Calculateur!AS103*VLOOKUP('Données projet'!$B$10,Paramètres!$A$1:$I$89,3,0)*0.475*44/12</f>
        <v>7.6734080131721951</v>
      </c>
      <c r="AW103" s="21">
        <f>EXP(-LN(2)/2)*AW102+(1-EXP(-LN(2)/2))/(LN(2)/2)*AQ103*AT103*VLOOKUP('Données projet'!$B$10,Paramètres!$A$1:$I$89,3,0)*0.475*44/12</f>
        <v>3.4698768556565289E-11</v>
      </c>
      <c r="AX103" s="21">
        <f t="shared" si="60"/>
        <v>107.69102059732573</v>
      </c>
      <c r="AY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852.00000000000011</v>
      </c>
      <c r="BE103" s="13">
        <f>BD103*VLOOKUP('Données projet'!$B$11,Paramètres!$A$1:$I$89,3,0)*VLOOKUP('Données projet'!$B$11,Paramètres!$A$1:$I$89,5,0)</f>
        <v>409.81200000000013</v>
      </c>
      <c r="BF103" s="13">
        <f t="shared" si="91"/>
        <v>93.76308331402879</v>
      </c>
      <c r="BG103" s="20">
        <f t="shared" si="61"/>
        <v>877.05993677193362</v>
      </c>
      <c r="BH103" s="57">
        <f t="shared" si="62"/>
        <v>1170.393270105267</v>
      </c>
      <c r="BI103" s="57">
        <f ca="1">AVERAGE(OFFSET($BH$3,0,0,'Données projet'!$E$11+1,1))-AVERAGE(OFFSET($H$3,0,0,'Données projet'!$E$11+1,1))</f>
        <v>495.6473104257044</v>
      </c>
      <c r="BJ103" s="57">
        <f t="shared" si="92"/>
        <v>430.92527296485201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104.19383515978109</v>
      </c>
      <c r="BQ103" s="21">
        <f>EXP(-LN(2)/25)*BQ102+(1-EXP(-LN(2)/25))/(LN(2)/25)*Calculateur!BL103*Calculateur!BN103*VLOOKUP('Données projet'!$B$11,Paramètres!$A$1:$I$89,3,0)*0.475*44/12</f>
        <v>7.2293450494469491</v>
      </c>
      <c r="BR103" s="21">
        <f>EXP(-LN(2)/2)*BR102+(1-EXP(-LN(2)/2))/(LN(2)/2)*BL103*BO103*VLOOKUP('Données projet'!$B$11,Paramètres!$A$1:$I$89,3,0)*0.475*44/12</f>
        <v>2.1298511100885565E-11</v>
      </c>
      <c r="BS103" s="22">
        <f t="shared" si="63"/>
        <v>111.42318020924934</v>
      </c>
      <c r="BT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7" t="e">
        <f t="shared" si="65"/>
        <v>#NUM!</v>
      </c>
      <c r="CD103" s="57">
        <f ca="1">AVERAGE(OFFSET($CC$3,0,0,'Données projet'!$E$12+1,1))-AVERAGE(OFFSET($H$3,0,0,'Données projet'!$E$12+1,1))</f>
        <v>187.80389738728508</v>
      </c>
      <c r="CE103" s="57">
        <f t="shared" si="94"/>
        <v>439.28159165815265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30.877465682360931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3.5917595666147345E-11</v>
      </c>
      <c r="CN103" s="22">
        <f t="shared" si="66"/>
        <v>30.877465682396849</v>
      </c>
      <c r="CO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282</v>
      </c>
      <c r="CR103" s="12">
        <f>VLOOKUP(A103,'Données projet'!$A$139:$I$159,9,0)</f>
        <v>4.8</v>
      </c>
      <c r="CS103" s="12">
        <f t="array" ref="CS103">INDEX(CR:CR,MIN(IF(ISNUMBER(CR103:CR299),ROW(CR103:CR299),"")))</f>
        <v>4.8</v>
      </c>
      <c r="CT103" s="12">
        <f>IF('Données projet'!$A$140&gt;35,CT102+CS103-DB102,IF(A103&lt;'Données projet'!$A$140,$CQ$205^A103,IF(A103='Données projet'!$A$140,'Données projet'!$B$140,CT102+CS103-DB102)))</f>
        <v>281.99999999999989</v>
      </c>
      <c r="CU103" s="17">
        <f>CT103*VLOOKUP('Données projet'!$B$13,Paramètres!$A$1:$I$89,3,0)*VLOOKUP('Données projet'!$B$13,Paramètres!$A$1:$I$89,5,0)</f>
        <v>255.15359999999987</v>
      </c>
      <c r="CV103" s="13">
        <f t="shared" si="95"/>
        <v>61.688192762754376</v>
      </c>
      <c r="CW103" s="20">
        <f t="shared" si="67"/>
        <v>551.83278906179692</v>
      </c>
      <c r="CX103" s="57">
        <f t="shared" si="68"/>
        <v>845.16612239513029</v>
      </c>
      <c r="CY103" s="57">
        <f ca="1">AVERAGE(OFFSET($CX$3,0,0,'Données projet'!$E$13+1,1))-AVERAGE(OFFSET($H$3,0,0,'Données projet'!$E$13+1,1))</f>
        <v>364.3481978218424</v>
      </c>
      <c r="CZ103" s="57">
        <f t="shared" si="96"/>
        <v>231.36959598460686</v>
      </c>
      <c r="DA103" s="15">
        <f>IF(ISNA(VLOOKUP(A103,'Données projet'!$A$139:$I$159,3,0)),0,VLOOKUP(A103,'Données projet'!$A$139:$I$159,3,0))</f>
        <v>16</v>
      </c>
      <c r="DB103" s="15">
        <f>IF(ISNA(VLOOKUP(A103,'Données projet'!$A$139:$I$159,4,0)),0,VLOOKUP(A103,'Données projet'!$A$139:$I$159,4,0))</f>
        <v>21</v>
      </c>
      <c r="DC103" s="16">
        <f>IF(ISNA(VLOOKUP(A103,'Données projet'!$A$139:$I$159,5,0)),0%,VLOOKUP(A103,'Données projet'!$A$139:$I$159,5,0)*VLOOKUP('Données projet'!$B$13,Paramètres!$A$1:$I$89,7,0))</f>
        <v>0.43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71.853184673072121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71.853184673072121</v>
      </c>
      <c r="DJ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255.00000000000006</v>
      </c>
      <c r="DP103" s="17">
        <f>DO103*VLOOKUP('Données projet'!$B$14,Paramètres!$A$1:$I$89,3,0)*VLOOKUP('Données projet'!$B$14,Paramètres!$A$1:$I$89,5,0)</f>
        <v>186.96600000000004</v>
      </c>
      <c r="DQ103" s="13">
        <f t="shared" si="97"/>
        <v>46.868551400324648</v>
      </c>
      <c r="DR103" s="20">
        <f t="shared" si="70"/>
        <v>407.26184368889881</v>
      </c>
      <c r="DS103" s="57">
        <f t="shared" si="71"/>
        <v>700.59517702223206</v>
      </c>
      <c r="DT103" s="57">
        <f ca="1">AVERAGE(OFFSET($DS$3,0,0,'Données projet'!$E$14+1,1))-AVERAGE(OFFSET($H$3,0,0,'Données projet'!$E$14+1,1))</f>
        <v>239.25212250019609</v>
      </c>
      <c r="DU103" s="57">
        <f t="shared" si="98"/>
        <v>213.58492101729695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400</v>
      </c>
      <c r="EH103" s="12">
        <f>VLOOKUP(A103,'Données projet'!$A$191:$I$211,9,0)</f>
        <v>7.2</v>
      </c>
      <c r="EI103" s="12">
        <f t="array" ref="EI103">INDEX(EH:EH,MIN(IF(ISNUMBER(EH103:EH299),ROW(EH103:EH299),"")))</f>
        <v>7.2</v>
      </c>
      <c r="EJ103" s="12">
        <f>IF('Données projet'!$A$192&gt;35,EJ102+EI103-ER102,IF(A103&lt;'Données projet'!$A$192,$EG$205^A103,IF(A103='Données projet'!$A$192,'Données projet'!$B$192,EJ102+EI103-ER102)))</f>
        <v>399.99999999999989</v>
      </c>
      <c r="EK103" s="17">
        <f>EJ103*VLOOKUP('Données projet'!$B$15,Paramètres!$A$1:$I$89,3,0)*VLOOKUP('Données projet'!$B$15,Paramètres!$A$1:$I$89,5,0)</f>
        <v>343.19999999999993</v>
      </c>
      <c r="EL103" s="13">
        <f t="shared" si="99"/>
        <v>80.160725794932105</v>
      </c>
      <c r="EM103" s="20">
        <f t="shared" si="73"/>
        <v>737.35326409283982</v>
      </c>
      <c r="EN103" s="57">
        <f t="shared" si="74"/>
        <v>1030.6865974261732</v>
      </c>
      <c r="EO103" s="57">
        <f ca="1">AVERAGE(OFFSET($EN$3,0,0,'Données projet'!$E$15+1,1))-AVERAGE(OFFSET($H$3,0,0,'Données projet'!$E$15+1,1))</f>
        <v>447.10969593632467</v>
      </c>
      <c r="EP103" s="57">
        <f t="shared" si="100"/>
        <v>256.77417912163997</v>
      </c>
      <c r="EQ103" s="15">
        <f>IF(ISNA(VLOOKUP(A103,'Données projet'!$A$191:$I$211,3,0)),0,VLOOKUP(A103,'Données projet'!$A$191:$I$211,3,0))</f>
        <v>16</v>
      </c>
      <c r="ER103" s="15">
        <f>IF(ISNA(VLOOKUP(A103,'Données projet'!$A$191:$I$211,4,0)),0,VLOOKUP(A103,'Données projet'!$A$191:$I$211,4,0))</f>
        <v>24</v>
      </c>
      <c r="ES103" s="16">
        <f>IF(ISNA(VLOOKUP(A103,'Données projet'!$A$191:$I$211,5,0)),0%,VLOOKUP(A103,'Données projet'!$A$191:$I$211,5,0)*VLOOKUP('Données projet'!$B$15,Paramètres!$A$1:$I$89,7,0))</f>
        <v>0.53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107.40148843786939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107.40148843786939</v>
      </c>
      <c r="EZ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7" t="e">
        <f t="shared" si="77"/>
        <v>#N/A</v>
      </c>
      <c r="FJ103" s="57" t="e">
        <f ca="1">AVERAGE(OFFSET($FI$3,0,0,'Données projet'!$E$16+1,1))-AVERAGE(OFFSET($H$3,0,0,'Données projet'!$E$16+1,1))</f>
        <v>#N/A</v>
      </c>
      <c r="FK103" s="57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7" t="e">
        <f t="shared" si="80"/>
        <v>#N/A</v>
      </c>
      <c r="GE103" s="57" t="e">
        <f ca="1">AVERAGE(OFFSET($GD$3,0,0,'Données projet'!$E$17+1,1))-AVERAGE(OFFSET($H$3,0,0,'Données projet'!$E$17+1,1))</f>
        <v>#N/A</v>
      </c>
      <c r="GF103" s="57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7" t="e">
        <f t="shared" si="83"/>
        <v>#N/A</v>
      </c>
      <c r="GZ103" s="57" t="e">
        <f ca="1">AVERAGE(OFFSET($GY$3,0,0,'Données projet'!$E$18+1,1))-AVERAGE(OFFSET($H$3,0,0,'Données projet'!$E$18+1,1))</f>
        <v>#N/A</v>
      </c>
      <c r="HA103" s="57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0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4">
        <f t="shared" si="56"/>
        <v>256.66666666666669</v>
      </c>
      <c r="I104" s="6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636.99999999999977</v>
      </c>
      <c r="O104" s="13">
        <f>N104*VLOOKUP('Données projet'!$B$9,Paramètres!$A$1:$I$89,3,0)*VLOOKUP('Données projet'!$B$9,Paramètres!$A$1:$I$89,5,0)</f>
        <v>356.08299999999991</v>
      </c>
      <c r="P104" s="13">
        <f t="shared" si="87"/>
        <v>82.813805255716545</v>
      </c>
      <c r="Q104" s="20">
        <f t="shared" si="107"/>
        <v>764.41193582037283</v>
      </c>
      <c r="R104" s="57">
        <f t="shared" si="55"/>
        <v>1057.7452691537062</v>
      </c>
      <c r="S104" s="57">
        <f ca="1">AVERAGE(OFFSET($R$3,0,0,'Données projet'!$E$9+1,1))-AVERAGE(OFFSET($H$3,0,0,'Données projet'!$E$9+1,1))</f>
        <v>443.34220761968419</v>
      </c>
      <c r="T104" s="57">
        <f t="shared" si="88"/>
        <v>546.58234447298014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43.390586371908803</v>
      </c>
      <c r="AA104" s="21">
        <f>EXP(-LN(2)/25)*AA103+(1-EXP(-LN(2)/25))/(LN(2)/25)*Calculateur!V104*Calculateur!X104*VLOOKUP('Données projet'!$B$9,Paramètres!$A$1:$I$89,3,0)*0.475*44/12</f>
        <v>3.0637834637807453</v>
      </c>
      <c r="AB104" s="21">
        <f>EXP(-LN(2)/2)*AB103+(1-EXP(-LN(2)/2))/(LN(2)/2)*V104*Y104*VLOOKUP('Données projet'!$B$9,Paramètres!$A$1:$I$89,3,0)*0.475*44/12</f>
        <v>1.2433725399435903E-10</v>
      </c>
      <c r="AC104" s="22">
        <f t="shared" si="57"/>
        <v>46.454369835813885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911.99999999999898</v>
      </c>
      <c r="AJ104" s="13">
        <f>AI104*VLOOKUP('Données projet'!$B$10,Paramètres!$A$1:$I$89,3,0)*VLOOKUP('Données projet'!$B$10,Paramètres!$A$1:$I$89,5,0)</f>
        <v>426.81599999999946</v>
      </c>
      <c r="AK104" s="13">
        <f t="shared" si="89"/>
        <v>97.192496986872399</v>
      </c>
      <c r="AL104" s="20">
        <f t="shared" si="58"/>
        <v>912.64813225213504</v>
      </c>
      <c r="AM104" s="57">
        <f t="shared" si="59"/>
        <v>1205.9814655854684</v>
      </c>
      <c r="AN104" s="57">
        <f ca="1">AVERAGE(OFFSET($AM$3,0,0,'Données projet'!$E$10+1,1))-AVERAGE(OFFSET($H$3,0,0,'Données projet'!$E$10+1,1))</f>
        <v>524.3999528951972</v>
      </c>
      <c r="AO104" s="57">
        <f t="shared" si="90"/>
        <v>459.3547783500515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98.056328206064222</v>
      </c>
      <c r="AV104" s="21">
        <f>EXP(-LN(2)/25)*AV103+(1-EXP(-LN(2)/25))/(LN(2)/25)*Calculateur!AQ104*Calculateur!AS104*VLOOKUP('Données projet'!$B$10,Paramètres!$A$1:$I$89,3,0)*0.475*44/12</f>
        <v>7.463578267525012</v>
      </c>
      <c r="AW104" s="21">
        <f>EXP(-LN(2)/2)*AW103+(1-EXP(-LN(2)/2))/(LN(2)/2)*AQ104*AT104*VLOOKUP('Données projet'!$B$10,Paramètres!$A$1:$I$89,3,0)*0.475*44/12</f>
        <v>2.4535734545169868E-11</v>
      </c>
      <c r="AX104" s="21">
        <f t="shared" si="60"/>
        <v>105.51990647361377</v>
      </c>
      <c r="AY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852.00000000000011</v>
      </c>
      <c r="BE104" s="13">
        <f>BD104*VLOOKUP('Données projet'!$B$11,Paramètres!$A$1:$I$89,3,0)*VLOOKUP('Données projet'!$B$11,Paramètres!$A$1:$I$89,5,0)</f>
        <v>409.81200000000013</v>
      </c>
      <c r="BF104" s="13">
        <f t="shared" si="91"/>
        <v>93.76308331402879</v>
      </c>
      <c r="BG104" s="20">
        <f t="shared" si="61"/>
        <v>877.05993677193362</v>
      </c>
      <c r="BH104" s="57">
        <f t="shared" si="62"/>
        <v>1170.393270105267</v>
      </c>
      <c r="BI104" s="57">
        <f ca="1">AVERAGE(OFFSET($BH$3,0,0,'Données projet'!$E$11+1,1))-AVERAGE(OFFSET($H$3,0,0,'Données projet'!$E$11+1,1))</f>
        <v>495.6473104257044</v>
      </c>
      <c r="BJ104" s="57">
        <f t="shared" si="92"/>
        <v>430.92527296485201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102.15065760426199</v>
      </c>
      <c r="BQ104" s="21">
        <f>EXP(-LN(2)/25)*BQ103+(1-EXP(-LN(2)/25))/(LN(2)/25)*Calculateur!BL104*Calculateur!BN104*VLOOKUP('Données projet'!$B$11,Paramètres!$A$1:$I$89,3,0)*0.475*44/12</f>
        <v>7.0316582288950888</v>
      </c>
      <c r="BR104" s="21">
        <f>EXP(-LN(2)/2)*BR103+(1-EXP(-LN(2)/2))/(LN(2)/2)*BL104*BO104*VLOOKUP('Données projet'!$B$11,Paramètres!$A$1:$I$89,3,0)*0.475*44/12</f>
        <v>1.5060321628613143E-11</v>
      </c>
      <c r="BS104" s="22">
        <f t="shared" si="63"/>
        <v>109.18231583317214</v>
      </c>
      <c r="BT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7" t="e">
        <f t="shared" si="65"/>
        <v>#NUM!</v>
      </c>
      <c r="CD104" s="57">
        <f ca="1">AVERAGE(OFFSET($CC$3,0,0,'Données projet'!$E$12+1,1))-AVERAGE(OFFSET($H$3,0,0,'Données projet'!$E$12+1,1))</f>
        <v>187.80389738728508</v>
      </c>
      <c r="CE104" s="57">
        <f t="shared" si="94"/>
        <v>439.28159165815265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30.271977413724258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2.5397575459449338E-11</v>
      </c>
      <c r="CN104" s="22">
        <f t="shared" si="66"/>
        <v>30.271977413749656</v>
      </c>
      <c r="CO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4.5999999999999996</v>
      </c>
      <c r="CT104" s="12">
        <f>IF('Données projet'!$A$140&gt;35,CT103+CS104-DB103,IF(A104&lt;'Données projet'!$A$140,$CQ$205^A104,IF(A104='Données projet'!$A$140,'Données projet'!$B$140,CT103+CS104-DB103)))</f>
        <v>265.59999999999991</v>
      </c>
      <c r="CU104" s="17">
        <f>CT104*VLOOKUP('Données projet'!$B$13,Paramètres!$A$1:$I$89,3,0)*VLOOKUP('Données projet'!$B$13,Paramètres!$A$1:$I$89,5,0)</f>
        <v>240.31487999999993</v>
      </c>
      <c r="CV104" s="13">
        <f t="shared" si="95"/>
        <v>58.50727327751612</v>
      </c>
      <c r="CW104" s="20">
        <f t="shared" si="67"/>
        <v>520.44858362500713</v>
      </c>
      <c r="CX104" s="57">
        <f t="shared" si="68"/>
        <v>813.78191695834039</v>
      </c>
      <c r="CY104" s="57">
        <f ca="1">AVERAGE(OFFSET($CX$3,0,0,'Données projet'!$E$13+1,1))-AVERAGE(OFFSET($H$3,0,0,'Données projet'!$E$13+1,1))</f>
        <v>364.3481978218424</v>
      </c>
      <c r="CZ104" s="57">
        <f t="shared" si="96"/>
        <v>231.36959598460686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70.444187547748356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70.444187547748356</v>
      </c>
      <c r="DJ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255.00000000000006</v>
      </c>
      <c r="DP104" s="17">
        <f>DO104*VLOOKUP('Données projet'!$B$14,Paramètres!$A$1:$I$89,3,0)*VLOOKUP('Données projet'!$B$14,Paramètres!$A$1:$I$89,5,0)</f>
        <v>186.96600000000004</v>
      </c>
      <c r="DQ104" s="13">
        <f t="shared" si="97"/>
        <v>46.868551400324648</v>
      </c>
      <c r="DR104" s="20">
        <f t="shared" si="70"/>
        <v>407.26184368889881</v>
      </c>
      <c r="DS104" s="57">
        <f t="shared" si="71"/>
        <v>700.59517702223206</v>
      </c>
      <c r="DT104" s="57">
        <f ca="1">AVERAGE(OFFSET($DS$3,0,0,'Données projet'!$E$14+1,1))-AVERAGE(OFFSET($H$3,0,0,'Données projet'!$E$14+1,1))</f>
        <v>239.25212250019609</v>
      </c>
      <c r="DU104" s="57">
        <f t="shared" si="98"/>
        <v>213.58492101729695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6.6</v>
      </c>
      <c r="EJ104" s="12">
        <f>IF('Données projet'!$A$192&gt;35,EJ103+EI104-ER103,IF(A104&lt;'Données projet'!$A$192,$EG$205^A104,IF(A104='Données projet'!$A$192,'Données projet'!$B$192,EJ103+EI104-ER103)))</f>
        <v>382.59999999999991</v>
      </c>
      <c r="EK104" s="17">
        <f>EJ104*VLOOKUP('Données projet'!$B$15,Paramètres!$A$1:$I$89,3,0)*VLOOKUP('Données projet'!$B$15,Paramètres!$A$1:$I$89,5,0)</f>
        <v>328.27079999999995</v>
      </c>
      <c r="EL104" s="13">
        <f t="shared" si="99"/>
        <v>77.071690347038668</v>
      </c>
      <c r="EM104" s="20">
        <f t="shared" si="73"/>
        <v>705.97150402109219</v>
      </c>
      <c r="EN104" s="57">
        <f t="shared" si="74"/>
        <v>999.30483735442544</v>
      </c>
      <c r="EO104" s="57">
        <f ca="1">AVERAGE(OFFSET($EN$3,0,0,'Données projet'!$E$15+1,1))-AVERAGE(OFFSET($H$3,0,0,'Données projet'!$E$15+1,1))</f>
        <v>447.10969593632467</v>
      </c>
      <c r="EP104" s="57">
        <f t="shared" si="100"/>
        <v>256.77417912163997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105.29541075804229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105.29541075804229</v>
      </c>
      <c r="EZ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7" t="e">
        <f t="shared" si="77"/>
        <v>#N/A</v>
      </c>
      <c r="FJ104" s="57" t="e">
        <f ca="1">AVERAGE(OFFSET($FI$3,0,0,'Données projet'!$E$16+1,1))-AVERAGE(OFFSET($H$3,0,0,'Données projet'!$E$16+1,1))</f>
        <v>#N/A</v>
      </c>
      <c r="FK104" s="57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7" t="e">
        <f t="shared" si="80"/>
        <v>#N/A</v>
      </c>
      <c r="GE104" s="57" t="e">
        <f ca="1">AVERAGE(OFFSET($GD$3,0,0,'Données projet'!$E$17+1,1))-AVERAGE(OFFSET($H$3,0,0,'Données projet'!$E$17+1,1))</f>
        <v>#N/A</v>
      </c>
      <c r="GF104" s="57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7" t="e">
        <f t="shared" si="83"/>
        <v>#N/A</v>
      </c>
      <c r="GZ104" s="57" t="e">
        <f ca="1">AVERAGE(OFFSET($GY$3,0,0,'Données projet'!$E$18+1,1))-AVERAGE(OFFSET($H$3,0,0,'Données projet'!$E$18+1,1))</f>
        <v>#N/A</v>
      </c>
      <c r="HA104" s="57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0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4">
        <f t="shared" si="56"/>
        <v>256.66666666666669</v>
      </c>
      <c r="I105" s="6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636.99999999999977</v>
      </c>
      <c r="O105" s="13">
        <f>N105*VLOOKUP('Données projet'!$B$9,Paramètres!$A$1:$I$89,3,0)*VLOOKUP('Données projet'!$B$9,Paramètres!$A$1:$I$89,5,0)</f>
        <v>356.08299999999991</v>
      </c>
      <c r="P105" s="13">
        <f t="shared" si="87"/>
        <v>82.813805255716545</v>
      </c>
      <c r="Q105" s="20">
        <f t="shared" si="107"/>
        <v>764.41193582037283</v>
      </c>
      <c r="R105" s="57">
        <f t="shared" si="55"/>
        <v>1057.7452691537062</v>
      </c>
      <c r="S105" s="57">
        <f ca="1">AVERAGE(OFFSET($R$3,0,0,'Données projet'!$E$9+1,1))-AVERAGE(OFFSET($H$3,0,0,'Données projet'!$E$9+1,1))</f>
        <v>443.34220761968419</v>
      </c>
      <c r="T105" s="57">
        <f t="shared" si="88"/>
        <v>546.58234447298014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42.539723438800095</v>
      </c>
      <c r="AA105" s="21">
        <f>EXP(-LN(2)/25)*AA104+(1-EXP(-LN(2)/25))/(LN(2)/25)*Calculateur!V105*Calculateur!X105*VLOOKUP('Données projet'!$B$9,Paramètres!$A$1:$I$89,3,0)*0.475*44/12</f>
        <v>2.980004143846291</v>
      </c>
      <c r="AB105" s="21">
        <f>EXP(-LN(2)/2)*AB104+(1-EXP(-LN(2)/2))/(LN(2)/2)*V105*Y105*VLOOKUP('Données projet'!$B$9,Paramètres!$A$1:$I$89,3,0)*0.475*44/12</f>
        <v>8.7919715453525412E-11</v>
      </c>
      <c r="AC105" s="22">
        <f t="shared" si="57"/>
        <v>45.519727582734312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911.99999999999898</v>
      </c>
      <c r="AJ105" s="13">
        <f>AI105*VLOOKUP('Données projet'!$B$10,Paramètres!$A$1:$I$89,3,0)*VLOOKUP('Données projet'!$B$10,Paramètres!$A$1:$I$89,5,0)</f>
        <v>426.81599999999946</v>
      </c>
      <c r="AK105" s="13">
        <f t="shared" si="89"/>
        <v>97.192496986872399</v>
      </c>
      <c r="AL105" s="20">
        <f t="shared" si="58"/>
        <v>912.64813225213504</v>
      </c>
      <c r="AM105" s="57">
        <f t="shared" si="59"/>
        <v>1205.9814655854684</v>
      </c>
      <c r="AN105" s="57">
        <f ca="1">AVERAGE(OFFSET($AM$3,0,0,'Données projet'!$E$10+1,1))-AVERAGE(OFFSET($H$3,0,0,'Données projet'!$E$10+1,1))</f>
        <v>524.3999528951972</v>
      </c>
      <c r="AO105" s="57">
        <f t="shared" si="90"/>
        <v>459.3547783500515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96.133503418397908</v>
      </c>
      <c r="AV105" s="21">
        <f>EXP(-LN(2)/25)*AV104+(1-EXP(-LN(2)/25))/(LN(2)/25)*Calculateur!AQ105*Calculateur!AS105*VLOOKUP('Données projet'!$B$10,Paramètres!$A$1:$I$89,3,0)*0.475*44/12</f>
        <v>7.2594863273070178</v>
      </c>
      <c r="AW105" s="21">
        <f>EXP(-LN(2)/2)*AW104+(1-EXP(-LN(2)/2))/(LN(2)/2)*AQ105*AT105*VLOOKUP('Données projet'!$B$10,Paramètres!$A$1:$I$89,3,0)*0.475*44/12</f>
        <v>1.7349384278282645E-11</v>
      </c>
      <c r="AX105" s="21">
        <f t="shared" si="60"/>
        <v>103.39298974572228</v>
      </c>
      <c r="AY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852.00000000000011</v>
      </c>
      <c r="BE105" s="13">
        <f>BD105*VLOOKUP('Données projet'!$B$11,Paramètres!$A$1:$I$89,3,0)*VLOOKUP('Données projet'!$B$11,Paramètres!$A$1:$I$89,5,0)</f>
        <v>409.81200000000013</v>
      </c>
      <c r="BF105" s="13">
        <f t="shared" si="91"/>
        <v>93.76308331402879</v>
      </c>
      <c r="BG105" s="20">
        <f t="shared" si="61"/>
        <v>877.05993677193362</v>
      </c>
      <c r="BH105" s="57">
        <f t="shared" si="62"/>
        <v>1170.393270105267</v>
      </c>
      <c r="BI105" s="57">
        <f ca="1">AVERAGE(OFFSET($BH$3,0,0,'Données projet'!$E$11+1,1))-AVERAGE(OFFSET($H$3,0,0,'Données projet'!$E$11+1,1))</f>
        <v>495.6473104257044</v>
      </c>
      <c r="BJ105" s="57">
        <f t="shared" si="92"/>
        <v>430.92527296485201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100.14754551439137</v>
      </c>
      <c r="BQ105" s="21">
        <f>EXP(-LN(2)/25)*BQ104+(1-EXP(-LN(2)/25))/(LN(2)/25)*Calculateur!BL105*Calculateur!BN105*VLOOKUP('Données projet'!$B$11,Paramètres!$A$1:$I$89,3,0)*0.475*44/12</f>
        <v>6.8393771648471171</v>
      </c>
      <c r="BR105" s="21">
        <f>EXP(-LN(2)/2)*BR104+(1-EXP(-LN(2)/2))/(LN(2)/2)*BL105*BO105*VLOOKUP('Données projet'!$B$11,Paramètres!$A$1:$I$89,3,0)*0.475*44/12</f>
        <v>1.0649255550442782E-11</v>
      </c>
      <c r="BS105" s="22">
        <f t="shared" si="63"/>
        <v>106.98692267924913</v>
      </c>
      <c r="BT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7" t="e">
        <f t="shared" si="65"/>
        <v>#NUM!</v>
      </c>
      <c r="CD105" s="57">
        <f ca="1">AVERAGE(OFFSET($CC$3,0,0,'Données projet'!$E$12+1,1))-AVERAGE(OFFSET($H$3,0,0,'Données projet'!$E$12+1,1))</f>
        <v>187.80389738728508</v>
      </c>
      <c r="CE105" s="57">
        <f t="shared" si="94"/>
        <v>439.28159165815265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29.678362400724172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1.7958797833073672E-11</v>
      </c>
      <c r="CN105" s="22">
        <f t="shared" si="66"/>
        <v>29.678362400742131</v>
      </c>
      <c r="CO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4.5999999999999996</v>
      </c>
      <c r="CT105" s="12">
        <f>IF('Données projet'!$A$140&gt;35,CT104+CS105-DB104,IF(A105&lt;'Données projet'!$A$140,$CQ$205^A105,IF(A105='Données projet'!$A$140,'Données projet'!$B$140,CT104+CS105-DB104)))</f>
        <v>270.19999999999993</v>
      </c>
      <c r="CU105" s="17">
        <f>CT105*VLOOKUP('Données projet'!$B$13,Paramètres!$A$1:$I$89,3,0)*VLOOKUP('Données projet'!$B$13,Paramètres!$A$1:$I$89,5,0)</f>
        <v>244.47695999999993</v>
      </c>
      <c r="CV105" s="13">
        <f t="shared" si="95"/>
        <v>59.401731670234192</v>
      </c>
      <c r="CW105" s="20">
        <f t="shared" si="67"/>
        <v>529.25538799232447</v>
      </c>
      <c r="CX105" s="57">
        <f t="shared" si="68"/>
        <v>822.58872132565784</v>
      </c>
      <c r="CY105" s="57">
        <f ca="1">AVERAGE(OFFSET($CX$3,0,0,'Données projet'!$E$13+1,1))-AVERAGE(OFFSET($H$3,0,0,'Données projet'!$E$13+1,1))</f>
        <v>364.3481978218424</v>
      </c>
      <c r="CZ105" s="57">
        <f t="shared" si="96"/>
        <v>231.36959598460686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69.062819996648798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69.062819996648798</v>
      </c>
      <c r="DJ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255.00000000000006</v>
      </c>
      <c r="DP105" s="17">
        <f>DO105*VLOOKUP('Données projet'!$B$14,Paramètres!$A$1:$I$89,3,0)*VLOOKUP('Données projet'!$B$14,Paramètres!$A$1:$I$89,5,0)</f>
        <v>186.96600000000004</v>
      </c>
      <c r="DQ105" s="13">
        <f t="shared" si="97"/>
        <v>46.868551400324648</v>
      </c>
      <c r="DR105" s="20">
        <f t="shared" si="70"/>
        <v>407.26184368889881</v>
      </c>
      <c r="DS105" s="57">
        <f t="shared" si="71"/>
        <v>700.59517702223206</v>
      </c>
      <c r="DT105" s="57">
        <f ca="1">AVERAGE(OFFSET($DS$3,0,0,'Données projet'!$E$14+1,1))-AVERAGE(OFFSET($H$3,0,0,'Données projet'!$E$14+1,1))</f>
        <v>239.25212250019609</v>
      </c>
      <c r="DU105" s="57">
        <f t="shared" si="98"/>
        <v>213.58492101729695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6.6</v>
      </c>
      <c r="EJ105" s="12">
        <f>IF('Données projet'!$A$192&gt;35,EJ104+EI105-ER104,IF(A105&lt;'Données projet'!$A$192,$EG$205^A105,IF(A105='Données projet'!$A$192,'Données projet'!$B$192,EJ104+EI105-ER104)))</f>
        <v>389.19999999999993</v>
      </c>
      <c r="EK105" s="17">
        <f>EJ105*VLOOKUP('Données projet'!$B$15,Paramètres!$A$1:$I$89,3,0)*VLOOKUP('Données projet'!$B$15,Paramètres!$A$1:$I$89,5,0)</f>
        <v>333.93359999999996</v>
      </c>
      <c r="EL105" s="13">
        <f t="shared" si="99"/>
        <v>78.245279532276854</v>
      </c>
      <c r="EM105" s="20">
        <f t="shared" si="73"/>
        <v>717.87821518538203</v>
      </c>
      <c r="EN105" s="57">
        <f t="shared" si="74"/>
        <v>1011.2115485187153</v>
      </c>
      <c r="EO105" s="57">
        <f ca="1">AVERAGE(OFFSET($EN$3,0,0,'Données projet'!$E$15+1,1))-AVERAGE(OFFSET($H$3,0,0,'Données projet'!$E$15+1,1))</f>
        <v>447.10969593632467</v>
      </c>
      <c r="EP105" s="57">
        <f t="shared" si="100"/>
        <v>256.77417912163997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103.23063197693607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103.23063197693607</v>
      </c>
      <c r="EZ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7" t="e">
        <f t="shared" si="77"/>
        <v>#N/A</v>
      </c>
      <c r="FJ105" s="57" t="e">
        <f ca="1">AVERAGE(OFFSET($FI$3,0,0,'Données projet'!$E$16+1,1))-AVERAGE(OFFSET($H$3,0,0,'Données projet'!$E$16+1,1))</f>
        <v>#N/A</v>
      </c>
      <c r="FK105" s="57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7" t="e">
        <f t="shared" si="80"/>
        <v>#N/A</v>
      </c>
      <c r="GE105" s="57" t="e">
        <f ca="1">AVERAGE(OFFSET($GD$3,0,0,'Données projet'!$E$17+1,1))-AVERAGE(OFFSET($H$3,0,0,'Données projet'!$E$17+1,1))</f>
        <v>#N/A</v>
      </c>
      <c r="GF105" s="57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7" t="e">
        <f t="shared" si="83"/>
        <v>#N/A</v>
      </c>
      <c r="GZ105" s="57" t="e">
        <f ca="1">AVERAGE(OFFSET($GY$3,0,0,'Données projet'!$E$18+1,1))-AVERAGE(OFFSET($H$3,0,0,'Données projet'!$E$18+1,1))</f>
        <v>#N/A</v>
      </c>
      <c r="HA105" s="57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0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4">
        <f t="shared" si="56"/>
        <v>256.66666666666669</v>
      </c>
      <c r="I106" s="6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636.99999999999977</v>
      </c>
      <c r="O106" s="13">
        <f>N106*VLOOKUP('Données projet'!$B$9,Paramètres!$A$1:$I$89,3,0)*VLOOKUP('Données projet'!$B$9,Paramètres!$A$1:$I$89,5,0)</f>
        <v>356.08299999999991</v>
      </c>
      <c r="P106" s="13">
        <f t="shared" si="87"/>
        <v>82.813805255716545</v>
      </c>
      <c r="Q106" s="20">
        <f t="shared" si="107"/>
        <v>764.41193582037283</v>
      </c>
      <c r="R106" s="57">
        <f t="shared" si="55"/>
        <v>1057.7452691537062</v>
      </c>
      <c r="S106" s="57">
        <f ca="1">AVERAGE(OFFSET($R$3,0,0,'Données projet'!$E$9+1,1))-AVERAGE(OFFSET($H$3,0,0,'Données projet'!$E$9+1,1))</f>
        <v>443.34220761968419</v>
      </c>
      <c r="T106" s="57">
        <f t="shared" si="88"/>
        <v>546.58234447298014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41.705545408834503</v>
      </c>
      <c r="AA106" s="21">
        <f>EXP(-LN(2)/25)*AA105+(1-EXP(-LN(2)/25))/(LN(2)/25)*Calculateur!V106*Calculateur!X106*VLOOKUP('Données projet'!$B$9,Paramètres!$A$1:$I$89,3,0)*0.475*44/12</f>
        <v>2.8985157738212073</v>
      </c>
      <c r="AB106" s="21">
        <f>EXP(-LN(2)/2)*AB105+(1-EXP(-LN(2)/2))/(LN(2)/2)*V106*Y106*VLOOKUP('Données projet'!$B$9,Paramètres!$A$1:$I$89,3,0)*0.475*44/12</f>
        <v>6.2168626997179514E-11</v>
      </c>
      <c r="AC106" s="22">
        <f t="shared" si="57"/>
        <v>44.604061182717878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911.99999999999898</v>
      </c>
      <c r="AJ106" s="13">
        <f>AI106*VLOOKUP('Données projet'!$B$10,Paramètres!$A$1:$I$89,3,0)*VLOOKUP('Données projet'!$B$10,Paramètres!$A$1:$I$89,5,0)</f>
        <v>426.81599999999946</v>
      </c>
      <c r="AK106" s="13">
        <f t="shared" si="89"/>
        <v>97.192496986872399</v>
      </c>
      <c r="AL106" s="20">
        <f t="shared" si="58"/>
        <v>912.64813225213504</v>
      </c>
      <c r="AM106" s="57">
        <f t="shared" si="59"/>
        <v>1205.9814655854684</v>
      </c>
      <c r="AN106" s="57">
        <f ca="1">AVERAGE(OFFSET($AM$3,0,0,'Données projet'!$E$10+1,1))-AVERAGE(OFFSET($H$3,0,0,'Données projet'!$E$10+1,1))</f>
        <v>524.3999528951972</v>
      </c>
      <c r="AO106" s="57">
        <f t="shared" si="90"/>
        <v>459.3547783500515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94.248384052010422</v>
      </c>
      <c r="AV106" s="21">
        <f>EXP(-LN(2)/25)*AV105+(1-EXP(-LN(2)/25))/(LN(2)/25)*Calculateur!AQ106*Calculateur!AS106*VLOOKUP('Données projet'!$B$10,Paramètres!$A$1:$I$89,3,0)*0.475*44/12</f>
        <v>7.0609752919270132</v>
      </c>
      <c r="AW106" s="21">
        <f>EXP(-LN(2)/2)*AW105+(1-EXP(-LN(2)/2))/(LN(2)/2)*AQ106*AT106*VLOOKUP('Données projet'!$B$10,Paramètres!$A$1:$I$89,3,0)*0.475*44/12</f>
        <v>1.2267867272584934E-11</v>
      </c>
      <c r="AX106" s="21">
        <f t="shared" si="60"/>
        <v>101.30935934394969</v>
      </c>
      <c r="AY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852.00000000000011</v>
      </c>
      <c r="BE106" s="13">
        <f>BD106*VLOOKUP('Données projet'!$B$11,Paramètres!$A$1:$I$89,3,0)*VLOOKUP('Données projet'!$B$11,Paramètres!$A$1:$I$89,5,0)</f>
        <v>409.81200000000013</v>
      </c>
      <c r="BF106" s="13">
        <f t="shared" si="91"/>
        <v>93.76308331402879</v>
      </c>
      <c r="BG106" s="20">
        <f t="shared" si="61"/>
        <v>877.05993677193362</v>
      </c>
      <c r="BH106" s="57">
        <f t="shared" si="62"/>
        <v>1170.393270105267</v>
      </c>
      <c r="BI106" s="57">
        <f ca="1">AVERAGE(OFFSET($BH$3,0,0,'Données projet'!$E$11+1,1))-AVERAGE(OFFSET($H$3,0,0,'Données projet'!$E$11+1,1))</f>
        <v>495.6473104257044</v>
      </c>
      <c r="BJ106" s="57">
        <f t="shared" si="92"/>
        <v>430.92527296485201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98.183713230825376</v>
      </c>
      <c r="BQ106" s="21">
        <f>EXP(-LN(2)/25)*BQ105+(1-EXP(-LN(2)/25))/(LN(2)/25)*Calculateur!BL106*Calculateur!BN106*VLOOKUP('Données projet'!$B$11,Paramètres!$A$1:$I$89,3,0)*0.475*44/12</f>
        <v>6.652354036607159</v>
      </c>
      <c r="BR106" s="21">
        <f>EXP(-LN(2)/2)*BR105+(1-EXP(-LN(2)/2))/(LN(2)/2)*BL106*BO106*VLOOKUP('Données projet'!$B$11,Paramètres!$A$1:$I$89,3,0)*0.475*44/12</f>
        <v>7.5301608143065713E-12</v>
      </c>
      <c r="BS106" s="22">
        <f t="shared" si="63"/>
        <v>104.83606726744007</v>
      </c>
      <c r="BT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7" t="e">
        <f t="shared" si="65"/>
        <v>#NUM!</v>
      </c>
      <c r="CD106" s="57">
        <f ca="1">AVERAGE(OFFSET($CC$3,0,0,'Données projet'!$E$12+1,1))-AVERAGE(OFFSET($H$3,0,0,'Données projet'!$E$12+1,1))</f>
        <v>187.80389738728508</v>
      </c>
      <c r="CE106" s="57">
        <f t="shared" si="94"/>
        <v>439.28159165815265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29.096387816059611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1.2698787729724669E-11</v>
      </c>
      <c r="CN106" s="22">
        <f t="shared" si="66"/>
        <v>29.096387816072308</v>
      </c>
      <c r="CO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4.5999999999999996</v>
      </c>
      <c r="CT106" s="12">
        <f>IF('Données projet'!$A$140&gt;35,CT105+CS106-DB105,IF(A106&lt;'Données projet'!$A$140,$CQ$205^A106,IF(A106='Données projet'!$A$140,'Données projet'!$B$140,CT105+CS106-DB105)))</f>
        <v>274.79999999999995</v>
      </c>
      <c r="CU106" s="17">
        <f>CT106*VLOOKUP('Données projet'!$B$13,Paramètres!$A$1:$I$89,3,0)*VLOOKUP('Données projet'!$B$13,Paramètres!$A$1:$I$89,5,0)</f>
        <v>248.63903999999994</v>
      </c>
      <c r="CV106" s="13">
        <f t="shared" si="95"/>
        <v>60.294419230169922</v>
      </c>
      <c r="CW106" s="20">
        <f t="shared" si="67"/>
        <v>538.05910815921254</v>
      </c>
      <c r="CX106" s="57">
        <f t="shared" si="68"/>
        <v>831.39244149254591</v>
      </c>
      <c r="CY106" s="57">
        <f ca="1">AVERAGE(OFFSET($CX$3,0,0,'Données projet'!$E$13+1,1))-AVERAGE(OFFSET($H$3,0,0,'Données projet'!$E$13+1,1))</f>
        <v>364.3481978218424</v>
      </c>
      <c r="CZ106" s="57">
        <f t="shared" si="96"/>
        <v>231.36959598460686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67.708540220675303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67.708540220675303</v>
      </c>
      <c r="DJ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255.00000000000006</v>
      </c>
      <c r="DP106" s="17">
        <f>DO106*VLOOKUP('Données projet'!$B$14,Paramètres!$A$1:$I$89,3,0)*VLOOKUP('Données projet'!$B$14,Paramètres!$A$1:$I$89,5,0)</f>
        <v>186.96600000000004</v>
      </c>
      <c r="DQ106" s="13">
        <f t="shared" si="97"/>
        <v>46.868551400324648</v>
      </c>
      <c r="DR106" s="20">
        <f t="shared" si="70"/>
        <v>407.26184368889881</v>
      </c>
      <c r="DS106" s="57">
        <f t="shared" si="71"/>
        <v>700.59517702223206</v>
      </c>
      <c r="DT106" s="57">
        <f ca="1">AVERAGE(OFFSET($DS$3,0,0,'Données projet'!$E$14+1,1))-AVERAGE(OFFSET($H$3,0,0,'Données projet'!$E$14+1,1))</f>
        <v>239.25212250019609</v>
      </c>
      <c r="DU106" s="57">
        <f t="shared" si="98"/>
        <v>213.58492101729695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6.6</v>
      </c>
      <c r="EJ106" s="12">
        <f>IF('Données projet'!$A$192&gt;35,EJ105+EI106-ER105,IF(A106&lt;'Données projet'!$A$192,$EG$205^A106,IF(A106='Données projet'!$A$192,'Données projet'!$B$192,EJ105+EI106-ER105)))</f>
        <v>395.79999999999995</v>
      </c>
      <c r="EK106" s="17">
        <f>EJ106*VLOOKUP('Données projet'!$B$15,Paramètres!$A$1:$I$89,3,0)*VLOOKUP('Données projet'!$B$15,Paramètres!$A$1:$I$89,5,0)</f>
        <v>339.59640000000002</v>
      </c>
      <c r="EL106" s="13">
        <f t="shared" si="99"/>
        <v>79.416554343021332</v>
      </c>
      <c r="EM106" s="20">
        <f t="shared" si="73"/>
        <v>729.7808954807623</v>
      </c>
      <c r="EN106" s="57">
        <f t="shared" si="74"/>
        <v>1023.1142288140957</v>
      </c>
      <c r="EO106" s="57">
        <f ca="1">AVERAGE(OFFSET($EN$3,0,0,'Données projet'!$E$15+1,1))-AVERAGE(OFFSET($H$3,0,0,'Données projet'!$E$15+1,1))</f>
        <v>447.10969593632467</v>
      </c>
      <c r="EP106" s="57">
        <f t="shared" si="100"/>
        <v>256.77417912163997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101.20634224833663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101.20634224833663</v>
      </c>
      <c r="EZ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7" t="e">
        <f t="shared" si="77"/>
        <v>#N/A</v>
      </c>
      <c r="FJ106" s="57" t="e">
        <f ca="1">AVERAGE(OFFSET($FI$3,0,0,'Données projet'!$E$16+1,1))-AVERAGE(OFFSET($H$3,0,0,'Données projet'!$E$16+1,1))</f>
        <v>#N/A</v>
      </c>
      <c r="FK106" s="57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7" t="e">
        <f t="shared" si="80"/>
        <v>#N/A</v>
      </c>
      <c r="GE106" s="57" t="e">
        <f ca="1">AVERAGE(OFFSET($GD$3,0,0,'Données projet'!$E$17+1,1))-AVERAGE(OFFSET($H$3,0,0,'Données projet'!$E$17+1,1))</f>
        <v>#N/A</v>
      </c>
      <c r="GF106" s="57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7" t="e">
        <f t="shared" si="83"/>
        <v>#N/A</v>
      </c>
      <c r="GZ106" s="57" t="e">
        <f ca="1">AVERAGE(OFFSET($GY$3,0,0,'Données projet'!$E$18+1,1))-AVERAGE(OFFSET($H$3,0,0,'Données projet'!$E$18+1,1))</f>
        <v>#N/A</v>
      </c>
      <c r="HA106" s="57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0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4">
        <f t="shared" si="56"/>
        <v>256.66666666666669</v>
      </c>
      <c r="I107" s="6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636.99999999999977</v>
      </c>
      <c r="O107" s="13">
        <f>N107*VLOOKUP('Données projet'!$B$9,Paramètres!$A$1:$I$89,3,0)*VLOOKUP('Données projet'!$B$9,Paramètres!$A$1:$I$89,5,0)</f>
        <v>356.08299999999991</v>
      </c>
      <c r="P107" s="13">
        <f t="shared" si="87"/>
        <v>82.813805255716545</v>
      </c>
      <c r="Q107" s="20">
        <f t="shared" si="107"/>
        <v>764.41193582037283</v>
      </c>
      <c r="R107" s="57">
        <f t="shared" si="55"/>
        <v>1057.7452691537062</v>
      </c>
      <c r="S107" s="57">
        <f ca="1">AVERAGE(OFFSET($R$3,0,0,'Données projet'!$E$9+1,1))-AVERAGE(OFFSET($H$3,0,0,'Données projet'!$E$9+1,1))</f>
        <v>443.34220761968419</v>
      </c>
      <c r="T107" s="57">
        <f t="shared" si="88"/>
        <v>546.58234447298014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40.887725101238175</v>
      </c>
      <c r="AA107" s="21">
        <f>EXP(-LN(2)/25)*AA106+(1-EXP(-LN(2)/25))/(LN(2)/25)*Calculateur!V107*Calculateur!X107*VLOOKUP('Données projet'!$B$9,Paramètres!$A$1:$I$89,3,0)*0.475*44/12</f>
        <v>2.8192557075597464</v>
      </c>
      <c r="AB107" s="21">
        <f>EXP(-LN(2)/2)*AB106+(1-EXP(-LN(2)/2))/(LN(2)/2)*V107*Y107*VLOOKUP('Données projet'!$B$9,Paramètres!$A$1:$I$89,3,0)*0.475*44/12</f>
        <v>4.3959857726762706E-11</v>
      </c>
      <c r="AC107" s="22">
        <f t="shared" si="57"/>
        <v>43.706980808841884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911.99999999999898</v>
      </c>
      <c r="AJ107" s="13">
        <f>AI107*VLOOKUP('Données projet'!$B$10,Paramètres!$A$1:$I$89,3,0)*VLOOKUP('Données projet'!$B$10,Paramètres!$A$1:$I$89,5,0)</f>
        <v>426.81599999999946</v>
      </c>
      <c r="AK107" s="13">
        <f t="shared" si="89"/>
        <v>97.192496986872399</v>
      </c>
      <c r="AL107" s="20">
        <f t="shared" si="58"/>
        <v>912.64813225213504</v>
      </c>
      <c r="AM107" s="57">
        <f t="shared" si="59"/>
        <v>1205.9814655854684</v>
      </c>
      <c r="AN107" s="57">
        <f ca="1">AVERAGE(OFFSET($AM$3,0,0,'Données projet'!$E$10+1,1))-AVERAGE(OFFSET($H$3,0,0,'Données projet'!$E$10+1,1))</f>
        <v>524.3999528951972</v>
      </c>
      <c r="AO107" s="57">
        <f t="shared" si="90"/>
        <v>459.3547783500515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92.400230726588518</v>
      </c>
      <c r="AV107" s="21">
        <f>EXP(-LN(2)/25)*AV106+(1-EXP(-LN(2)/25))/(LN(2)/25)*Calculateur!AQ107*Calculateur!AS107*VLOOKUP('Données projet'!$B$10,Paramètres!$A$1:$I$89,3,0)*0.475*44/12</f>
        <v>6.8678925512487163</v>
      </c>
      <c r="AW107" s="21">
        <f>EXP(-LN(2)/2)*AW106+(1-EXP(-LN(2)/2))/(LN(2)/2)*AQ107*AT107*VLOOKUP('Données projet'!$B$10,Paramètres!$A$1:$I$89,3,0)*0.475*44/12</f>
        <v>8.6746921391413223E-12</v>
      </c>
      <c r="AX107" s="21">
        <f t="shared" si="60"/>
        <v>99.268123277845902</v>
      </c>
      <c r="AY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852.00000000000011</v>
      </c>
      <c r="BE107" s="13">
        <f>BD107*VLOOKUP('Données projet'!$B$11,Paramètres!$A$1:$I$89,3,0)*VLOOKUP('Données projet'!$B$11,Paramètres!$A$1:$I$89,5,0)</f>
        <v>409.81200000000013</v>
      </c>
      <c r="BF107" s="13">
        <f t="shared" si="91"/>
        <v>93.76308331402879</v>
      </c>
      <c r="BG107" s="20">
        <f t="shared" si="61"/>
        <v>877.05993677193362</v>
      </c>
      <c r="BH107" s="57">
        <f t="shared" si="62"/>
        <v>1170.393270105267</v>
      </c>
      <c r="BI107" s="57">
        <f ca="1">AVERAGE(OFFSET($BH$3,0,0,'Données projet'!$E$11+1,1))-AVERAGE(OFFSET($H$3,0,0,'Données projet'!$E$11+1,1))</f>
        <v>495.6473104257044</v>
      </c>
      <c r="BJ107" s="57">
        <f t="shared" si="92"/>
        <v>430.92527296485201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96.25839050052069</v>
      </c>
      <c r="BQ107" s="21">
        <f>EXP(-LN(2)/25)*BQ106+(1-EXP(-LN(2)/25))/(LN(2)/25)*Calculateur!BL107*Calculateur!BN107*VLOOKUP('Données projet'!$B$11,Paramètres!$A$1:$I$89,3,0)*0.475*44/12</f>
        <v>6.470445065644042</v>
      </c>
      <c r="BR107" s="21">
        <f>EXP(-LN(2)/2)*BR106+(1-EXP(-LN(2)/2))/(LN(2)/2)*BL107*BO107*VLOOKUP('Données projet'!$B$11,Paramètres!$A$1:$I$89,3,0)*0.475*44/12</f>
        <v>5.3246277752213912E-12</v>
      </c>
      <c r="BS107" s="22">
        <f t="shared" si="63"/>
        <v>102.72883556617006</v>
      </c>
      <c r="BT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7" t="e">
        <f t="shared" si="65"/>
        <v>#NUM!</v>
      </c>
      <c r="CD107" s="57">
        <f ca="1">AVERAGE(OFFSET($CC$3,0,0,'Données projet'!$E$12+1,1))-AVERAGE(OFFSET($H$3,0,0,'Données projet'!$E$12+1,1))</f>
        <v>187.80389738728508</v>
      </c>
      <c r="CE107" s="57">
        <f t="shared" si="94"/>
        <v>439.28159165815265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28.525825398030875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8.9793989165368361E-12</v>
      </c>
      <c r="CN107" s="22">
        <f t="shared" si="66"/>
        <v>28.525825398039853</v>
      </c>
      <c r="CO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4.5999999999999996</v>
      </c>
      <c r="CT107" s="12">
        <f>IF('Données projet'!$A$140&gt;35,CT106+CS107-DB106,IF(A107&lt;'Données projet'!$A$140,$CQ$205^A107,IF(A107='Données projet'!$A$140,'Données projet'!$B$140,CT106+CS107-DB106)))</f>
        <v>279.39999999999998</v>
      </c>
      <c r="CU107" s="17">
        <f>CT107*VLOOKUP('Données projet'!$B$13,Paramètres!$A$1:$I$89,3,0)*VLOOKUP('Données projet'!$B$13,Paramètres!$A$1:$I$89,5,0)</f>
        <v>252.80111999999994</v>
      </c>
      <c r="CV107" s="13">
        <f t="shared" si="95"/>
        <v>61.185369021394209</v>
      </c>
      <c r="CW107" s="20">
        <f t="shared" si="67"/>
        <v>546.8598017122614</v>
      </c>
      <c r="CX107" s="57">
        <f t="shared" si="68"/>
        <v>840.19313504559477</v>
      </c>
      <c r="CY107" s="57">
        <f ca="1">AVERAGE(OFFSET($CX$3,0,0,'Données projet'!$E$13+1,1))-AVERAGE(OFFSET($H$3,0,0,'Données projet'!$E$13+1,1))</f>
        <v>364.3481978218424</v>
      </c>
      <c r="CZ107" s="57">
        <f t="shared" si="96"/>
        <v>231.36959598460686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66.380817045079539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66.380817045079539</v>
      </c>
      <c r="DJ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255.00000000000006</v>
      </c>
      <c r="DP107" s="17">
        <f>DO107*VLOOKUP('Données projet'!$B$14,Paramètres!$A$1:$I$89,3,0)*VLOOKUP('Données projet'!$B$14,Paramètres!$A$1:$I$89,5,0)</f>
        <v>186.96600000000004</v>
      </c>
      <c r="DQ107" s="13">
        <f t="shared" si="97"/>
        <v>46.868551400324648</v>
      </c>
      <c r="DR107" s="20">
        <f t="shared" si="70"/>
        <v>407.26184368889881</v>
      </c>
      <c r="DS107" s="57">
        <f t="shared" si="71"/>
        <v>700.59517702223206</v>
      </c>
      <c r="DT107" s="57">
        <f ca="1">AVERAGE(OFFSET($DS$3,0,0,'Données projet'!$E$14+1,1))-AVERAGE(OFFSET($H$3,0,0,'Données projet'!$E$14+1,1))</f>
        <v>239.25212250019609</v>
      </c>
      <c r="DU107" s="57">
        <f t="shared" si="98"/>
        <v>213.58492101729695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6.6</v>
      </c>
      <c r="EJ107" s="12">
        <f>IF('Données projet'!$A$192&gt;35,EJ106+EI107-ER106,IF(A107&lt;'Données projet'!$A$192,$EG$205^A107,IF(A107='Données projet'!$A$192,'Données projet'!$B$192,EJ106+EI107-ER106)))</f>
        <v>402.4</v>
      </c>
      <c r="EK107" s="17">
        <f>EJ107*VLOOKUP('Données projet'!$B$15,Paramètres!$A$1:$I$89,3,0)*VLOOKUP('Données projet'!$B$15,Paramètres!$A$1:$I$89,5,0)</f>
        <v>345.25920000000002</v>
      </c>
      <c r="EL107" s="13">
        <f t="shared" si="99"/>
        <v>80.585557826060622</v>
      </c>
      <c r="EM107" s="20">
        <f t="shared" si="73"/>
        <v>741.67961988038894</v>
      </c>
      <c r="EN107" s="57">
        <f t="shared" si="74"/>
        <v>1035.0129532137223</v>
      </c>
      <c r="EO107" s="57">
        <f ca="1">AVERAGE(OFFSET($EN$3,0,0,'Données projet'!$E$15+1,1))-AVERAGE(OFFSET($H$3,0,0,'Données projet'!$E$15+1,1))</f>
        <v>447.10969593632467</v>
      </c>
      <c r="EP107" s="57">
        <f t="shared" si="100"/>
        <v>256.77417912163997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99.221747606620212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99.221747606620212</v>
      </c>
      <c r="EZ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7" t="e">
        <f t="shared" si="77"/>
        <v>#N/A</v>
      </c>
      <c r="FJ107" s="57" t="e">
        <f ca="1">AVERAGE(OFFSET($FI$3,0,0,'Données projet'!$E$16+1,1))-AVERAGE(OFFSET($H$3,0,0,'Données projet'!$E$16+1,1))</f>
        <v>#N/A</v>
      </c>
      <c r="FK107" s="57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7" t="e">
        <f t="shared" si="80"/>
        <v>#N/A</v>
      </c>
      <c r="GE107" s="57" t="e">
        <f ca="1">AVERAGE(OFFSET($GD$3,0,0,'Données projet'!$E$17+1,1))-AVERAGE(OFFSET($H$3,0,0,'Données projet'!$E$17+1,1))</f>
        <v>#N/A</v>
      </c>
      <c r="GF107" s="57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7" t="e">
        <f t="shared" si="83"/>
        <v>#N/A</v>
      </c>
      <c r="GZ107" s="57" t="e">
        <f ca="1">AVERAGE(OFFSET($GY$3,0,0,'Données projet'!$E$18+1,1))-AVERAGE(OFFSET($H$3,0,0,'Données projet'!$E$18+1,1))</f>
        <v>#N/A</v>
      </c>
      <c r="HA107" s="57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0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4">
        <f t="shared" si="56"/>
        <v>256.66666666666669</v>
      </c>
      <c r="I108" s="6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636.99999999999977</v>
      </c>
      <c r="O108" s="13">
        <f>N108*VLOOKUP('Données projet'!$B$9,Paramètres!$A$1:$I$89,3,0)*VLOOKUP('Données projet'!$B$9,Paramètres!$A$1:$I$89,5,0)</f>
        <v>356.08299999999991</v>
      </c>
      <c r="P108" s="13">
        <f t="shared" si="87"/>
        <v>82.813805255716545</v>
      </c>
      <c r="Q108" s="20">
        <f t="shared" si="107"/>
        <v>764.41193582037283</v>
      </c>
      <c r="R108" s="57">
        <f t="shared" si="55"/>
        <v>1057.7452691537062</v>
      </c>
      <c r="S108" s="57">
        <f ca="1">AVERAGE(OFFSET($R$3,0,0,'Données projet'!$E$9+1,1))-AVERAGE(OFFSET($H$3,0,0,'Données projet'!$E$9+1,1))</f>
        <v>443.34220761968419</v>
      </c>
      <c r="T108" s="57">
        <f t="shared" si="88"/>
        <v>546.58234447298014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40.08594175105268</v>
      </c>
      <c r="AA108" s="21">
        <f>EXP(-LN(2)/25)*AA107+(1-EXP(-LN(2)/25))/(LN(2)/25)*Calculateur!V108*Calculateur!X108*VLOOKUP('Données projet'!$B$9,Paramètres!$A$1:$I$89,3,0)*0.475*44/12</f>
        <v>2.7421630119783109</v>
      </c>
      <c r="AB108" s="21">
        <f>EXP(-LN(2)/2)*AB107+(1-EXP(-LN(2)/2))/(LN(2)/2)*V108*Y108*VLOOKUP('Données projet'!$B$9,Paramètres!$A$1:$I$89,3,0)*0.475*44/12</f>
        <v>3.1084313498589757E-11</v>
      </c>
      <c r="AC108" s="22">
        <f t="shared" si="57"/>
        <v>42.828104763062079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911.99999999999898</v>
      </c>
      <c r="AJ108" s="13">
        <f>AI108*VLOOKUP('Données projet'!$B$10,Paramètres!$A$1:$I$89,3,0)*VLOOKUP('Données projet'!$B$10,Paramètres!$A$1:$I$89,5,0)</f>
        <v>426.81599999999946</v>
      </c>
      <c r="AK108" s="13">
        <f t="shared" si="89"/>
        <v>97.192496986872399</v>
      </c>
      <c r="AL108" s="20">
        <f t="shared" si="58"/>
        <v>912.64813225213504</v>
      </c>
      <c r="AM108" s="57">
        <f t="shared" si="59"/>
        <v>1205.9814655854684</v>
      </c>
      <c r="AN108" s="57">
        <f ca="1">AVERAGE(OFFSET($AM$3,0,0,'Données projet'!$E$10+1,1))-AVERAGE(OFFSET($H$3,0,0,'Données projet'!$E$10+1,1))</f>
        <v>524.3999528951972</v>
      </c>
      <c r="AO108" s="57">
        <f t="shared" si="90"/>
        <v>459.3547783500515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90.588318560615917</v>
      </c>
      <c r="AV108" s="21">
        <f>EXP(-LN(2)/25)*AV107+(1-EXP(-LN(2)/25))/(LN(2)/25)*Calculateur!AQ108*Calculateur!AS108*VLOOKUP('Données projet'!$B$10,Paramètres!$A$1:$I$89,3,0)*0.475*44/12</f>
        <v>6.6800896682680477</v>
      </c>
      <c r="AW108" s="21">
        <f>EXP(-LN(2)/2)*AW107+(1-EXP(-LN(2)/2))/(LN(2)/2)*AQ108*AT108*VLOOKUP('Données projet'!$B$10,Paramètres!$A$1:$I$89,3,0)*0.475*44/12</f>
        <v>6.1339336362924669E-12</v>
      </c>
      <c r="AX108" s="21">
        <f t="shared" si="60"/>
        <v>97.26840822889011</v>
      </c>
      <c r="AY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852.00000000000011</v>
      </c>
      <c r="BE108" s="13">
        <f>BD108*VLOOKUP('Données projet'!$B$11,Paramètres!$A$1:$I$89,3,0)*VLOOKUP('Données projet'!$B$11,Paramètres!$A$1:$I$89,5,0)</f>
        <v>409.81200000000013</v>
      </c>
      <c r="BF108" s="13">
        <f t="shared" si="91"/>
        <v>93.76308331402879</v>
      </c>
      <c r="BG108" s="20">
        <f t="shared" si="61"/>
        <v>877.05993677193362</v>
      </c>
      <c r="BH108" s="57">
        <f t="shared" si="62"/>
        <v>1170.393270105267</v>
      </c>
      <c r="BI108" s="57">
        <f ca="1">AVERAGE(OFFSET($BH$3,0,0,'Données projet'!$E$11+1,1))-AVERAGE(OFFSET($H$3,0,0,'Données projet'!$E$11+1,1))</f>
        <v>495.6473104257044</v>
      </c>
      <c r="BJ108" s="57">
        <f t="shared" si="92"/>
        <v>430.92527296485201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94.370822174626369</v>
      </c>
      <c r="BQ108" s="21">
        <f>EXP(-LN(2)/25)*BQ107+(1-EXP(-LN(2)/25))/(LN(2)/25)*Calculateur!BL108*Calculateur!BN108*VLOOKUP('Données projet'!$B$11,Paramètres!$A$1:$I$89,3,0)*0.475*44/12</f>
        <v>6.2935104050580879</v>
      </c>
      <c r="BR108" s="21">
        <f>EXP(-LN(2)/2)*BR107+(1-EXP(-LN(2)/2))/(LN(2)/2)*BL108*BO108*VLOOKUP('Données projet'!$B$11,Paramètres!$A$1:$I$89,3,0)*0.475*44/12</f>
        <v>3.7650804071532857E-12</v>
      </c>
      <c r="BS108" s="22">
        <f t="shared" si="63"/>
        <v>100.66433257968822</v>
      </c>
      <c r="BT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7" t="e">
        <f t="shared" si="65"/>
        <v>#NUM!</v>
      </c>
      <c r="CD108" s="57">
        <f ca="1">AVERAGE(OFFSET($CC$3,0,0,'Données projet'!$E$12+1,1))-AVERAGE(OFFSET($H$3,0,0,'Données projet'!$E$12+1,1))</f>
        <v>187.80389738728508</v>
      </c>
      <c r="CE108" s="57">
        <f t="shared" si="94"/>
        <v>439.28159165815265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27.966451361010972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6.3493938648623346E-12</v>
      </c>
      <c r="CN108" s="22">
        <f t="shared" si="66"/>
        <v>27.96645136101732</v>
      </c>
      <c r="CO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284</v>
      </c>
      <c r="CR108" s="12">
        <f>VLOOKUP(A108,'Données projet'!$A$139:$I$159,9,0)</f>
        <v>4.5999999999999996</v>
      </c>
      <c r="CS108" s="12">
        <f t="array" ref="CS108">INDEX(CR:CR,MIN(IF(ISNUMBER(CR108:CR304),ROW(CR108:CR304),"")))</f>
        <v>4.5999999999999996</v>
      </c>
      <c r="CT108" s="12">
        <f>IF('Données projet'!$A$140&gt;35,CT107+CS108-DB107,IF(A108&lt;'Données projet'!$A$140,$CQ$205^A108,IF(A108='Données projet'!$A$140,'Données projet'!$B$140,CT107+CS108-DB107)))</f>
        <v>284</v>
      </c>
      <c r="CU108" s="17">
        <f>CT108*VLOOKUP('Données projet'!$B$13,Paramètres!$A$1:$I$89,3,0)*VLOOKUP('Données projet'!$B$13,Paramètres!$A$1:$I$89,5,0)</f>
        <v>256.96320000000003</v>
      </c>
      <c r="CV108" s="13">
        <f t="shared" si="95"/>
        <v>62.074612956838024</v>
      </c>
      <c r="CW108" s="20">
        <f t="shared" si="67"/>
        <v>555.65752423315951</v>
      </c>
      <c r="CX108" s="57">
        <f t="shared" si="68"/>
        <v>848.99085756649288</v>
      </c>
      <c r="CY108" s="57">
        <f ca="1">AVERAGE(OFFSET($CX$3,0,0,'Données projet'!$E$13+1,1))-AVERAGE(OFFSET($H$3,0,0,'Données projet'!$E$13+1,1))</f>
        <v>364.3481978218424</v>
      </c>
      <c r="CZ108" s="57">
        <f t="shared" si="96"/>
        <v>231.36959598460686</v>
      </c>
      <c r="DA108" s="15">
        <f>IF(ISNA(VLOOKUP(A108,'Données projet'!$A$139:$I$159,3,0)),0,VLOOKUP(A108,'Données projet'!$A$139:$I$159,3,0))</f>
        <v>17</v>
      </c>
      <c r="DB108" s="15">
        <f>IF(ISNA(VLOOKUP(A108,'Données projet'!$A$139:$I$159,4,0)),0,VLOOKUP(A108,'Données projet'!$A$139:$I$159,4,0))</f>
        <v>20</v>
      </c>
      <c r="DC108" s="16">
        <f>IF(ISNA(VLOOKUP(A108,'Données projet'!$A$139:$I$159,5,0)),0%,VLOOKUP(A108,'Données projet'!$A$139:$I$159,5,0)*VLOOKUP('Données projet'!$B$13,Paramètres!$A$1:$I$89,7,0))</f>
        <v>0.43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73.681104265978192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73.681104265978192</v>
      </c>
      <c r="DJ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255.00000000000006</v>
      </c>
      <c r="DP108" s="17">
        <f>DO108*VLOOKUP('Données projet'!$B$14,Paramètres!$A$1:$I$89,3,0)*VLOOKUP('Données projet'!$B$14,Paramètres!$A$1:$I$89,5,0)</f>
        <v>186.96600000000004</v>
      </c>
      <c r="DQ108" s="13">
        <f t="shared" si="97"/>
        <v>46.868551400324648</v>
      </c>
      <c r="DR108" s="20">
        <f t="shared" si="70"/>
        <v>407.26184368889881</v>
      </c>
      <c r="DS108" s="57">
        <f t="shared" si="71"/>
        <v>700.59517702223206</v>
      </c>
      <c r="DT108" s="57">
        <f ca="1">AVERAGE(OFFSET($DS$3,0,0,'Données projet'!$E$14+1,1))-AVERAGE(OFFSET($H$3,0,0,'Données projet'!$E$14+1,1))</f>
        <v>239.25212250019609</v>
      </c>
      <c r="DU108" s="57">
        <f t="shared" si="98"/>
        <v>213.58492101729695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>
        <f>VLOOKUP(A108,'Données projet'!$A$191:$I$211,2,0)</f>
        <v>409</v>
      </c>
      <c r="EH108" s="12">
        <f>VLOOKUP(A108,'Données projet'!$A$191:$I$211,9,0)</f>
        <v>6.6</v>
      </c>
      <c r="EI108" s="12">
        <f t="array" ref="EI108">INDEX(EH:EH,MIN(IF(ISNUMBER(EH108:EH304),ROW(EH108:EH304),"")))</f>
        <v>6.6</v>
      </c>
      <c r="EJ108" s="12">
        <f>IF('Données projet'!$A$192&gt;35,EJ107+EI108-ER107,IF(A108&lt;'Données projet'!$A$192,$EG$205^A108,IF(A108='Données projet'!$A$192,'Données projet'!$B$192,EJ107+EI108-ER107)))</f>
        <v>409</v>
      </c>
      <c r="EK108" s="17">
        <f>EJ108*VLOOKUP('Données projet'!$B$15,Paramètres!$A$1:$I$89,3,0)*VLOOKUP('Données projet'!$B$15,Paramètres!$A$1:$I$89,5,0)</f>
        <v>350.92200000000003</v>
      </c>
      <c r="EL108" s="13">
        <f t="shared" si="99"/>
        <v>81.752331535154511</v>
      </c>
      <c r="EM108" s="20">
        <f t="shared" si="73"/>
        <v>753.57446075706082</v>
      </c>
      <c r="EN108" s="57">
        <f t="shared" si="74"/>
        <v>1046.9077940903942</v>
      </c>
      <c r="EO108" s="57">
        <f ca="1">AVERAGE(OFFSET($EN$3,0,0,'Données projet'!$E$15+1,1))-AVERAGE(OFFSET($H$3,0,0,'Données projet'!$E$15+1,1))</f>
        <v>447.10969593632467</v>
      </c>
      <c r="EP108" s="57">
        <f t="shared" si="100"/>
        <v>256.77417912163997</v>
      </c>
      <c r="EQ108" s="15">
        <f>IF(ISNA(VLOOKUP(A108,'Données projet'!$A$191:$I$211,3,0)),0,VLOOKUP(A108,'Données projet'!$A$191:$I$211,3,0))</f>
        <v>17</v>
      </c>
      <c r="ER108" s="15">
        <f>IF(ISNA(VLOOKUP(A108,'Données projet'!$A$191:$I$211,4,0)),0,VLOOKUP(A108,'Données projet'!$A$191:$I$211,4,0))</f>
        <v>23</v>
      </c>
      <c r="ES108" s="16">
        <f>IF(ISNA(VLOOKUP(A108,'Données projet'!$A$191:$I$211,5,0)),0%,VLOOKUP(A108,'Données projet'!$A$191:$I$211,5,0)*VLOOKUP('Données projet'!$B$15,Paramètres!$A$1:$I$89,7,0))</f>
        <v>0.53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108.83820646428737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108.83820646428737</v>
      </c>
      <c r="EZ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7" t="e">
        <f t="shared" si="77"/>
        <v>#N/A</v>
      </c>
      <c r="FJ108" s="57" t="e">
        <f ca="1">AVERAGE(OFFSET($FI$3,0,0,'Données projet'!$E$16+1,1))-AVERAGE(OFFSET($H$3,0,0,'Données projet'!$E$16+1,1))</f>
        <v>#N/A</v>
      </c>
      <c r="FK108" s="57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7" t="e">
        <f t="shared" si="80"/>
        <v>#N/A</v>
      </c>
      <c r="GE108" s="57" t="e">
        <f ca="1">AVERAGE(OFFSET($GD$3,0,0,'Données projet'!$E$17+1,1))-AVERAGE(OFFSET($H$3,0,0,'Données projet'!$E$17+1,1))</f>
        <v>#N/A</v>
      </c>
      <c r="GF108" s="57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7" t="e">
        <f t="shared" si="83"/>
        <v>#N/A</v>
      </c>
      <c r="GZ108" s="57" t="e">
        <f ca="1">AVERAGE(OFFSET($GY$3,0,0,'Données projet'!$E$18+1,1))-AVERAGE(OFFSET($H$3,0,0,'Données projet'!$E$18+1,1))</f>
        <v>#N/A</v>
      </c>
      <c r="HA108" s="57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0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4">
        <f t="shared" si="56"/>
        <v>256.66666666666669</v>
      </c>
      <c r="I109" s="6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636.99999999999977</v>
      </c>
      <c r="O109" s="13">
        <f>N109*VLOOKUP('Données projet'!$B$9,Paramètres!$A$1:$I$89,3,0)*VLOOKUP('Données projet'!$B$9,Paramètres!$A$1:$I$89,5,0)</f>
        <v>356.08299999999991</v>
      </c>
      <c r="P109" s="13">
        <f t="shared" si="87"/>
        <v>82.813805255716545</v>
      </c>
      <c r="Q109" s="20">
        <f t="shared" si="107"/>
        <v>764.41193582037283</v>
      </c>
      <c r="R109" s="57">
        <f t="shared" si="55"/>
        <v>1057.7452691537062</v>
      </c>
      <c r="S109" s="57">
        <f ca="1">AVERAGE(OFFSET($R$3,0,0,'Données projet'!$E$9+1,1))-AVERAGE(OFFSET($H$3,0,0,'Données projet'!$E$9+1,1))</f>
        <v>443.34220761968419</v>
      </c>
      <c r="T109" s="57">
        <f t="shared" si="88"/>
        <v>546.58234447298014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39.299880883324768</v>
      </c>
      <c r="AA109" s="21">
        <f>EXP(-LN(2)/25)*AA108+(1-EXP(-LN(2)/25))/(LN(2)/25)*Calculateur!V109*Calculateur!X109*VLOOKUP('Données projet'!$B$9,Paramètres!$A$1:$I$89,3,0)*0.475*44/12</f>
        <v>2.6671784202116786</v>
      </c>
      <c r="AB109" s="21">
        <f>EXP(-LN(2)/2)*AB108+(1-EXP(-LN(2)/2))/(LN(2)/2)*V109*Y109*VLOOKUP('Données projet'!$B$9,Paramètres!$A$1:$I$89,3,0)*0.475*44/12</f>
        <v>2.1979928863381353E-11</v>
      </c>
      <c r="AC109" s="22">
        <f t="shared" si="57"/>
        <v>41.967059303558422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911.99999999999898</v>
      </c>
      <c r="AJ109" s="13">
        <f>AI109*VLOOKUP('Données projet'!$B$10,Paramètres!$A$1:$I$89,3,0)*VLOOKUP('Données projet'!$B$10,Paramètres!$A$1:$I$89,5,0)</f>
        <v>426.81599999999946</v>
      </c>
      <c r="AK109" s="13">
        <f t="shared" si="89"/>
        <v>97.192496986872399</v>
      </c>
      <c r="AL109" s="20">
        <f t="shared" si="58"/>
        <v>912.64813225213504</v>
      </c>
      <c r="AM109" s="57">
        <f t="shared" si="59"/>
        <v>1205.9814655854684</v>
      </c>
      <c r="AN109" s="57">
        <f ca="1">AVERAGE(OFFSET($AM$3,0,0,'Données projet'!$E$10+1,1))-AVERAGE(OFFSET($H$3,0,0,'Données projet'!$E$10+1,1))</f>
        <v>524.3999528951972</v>
      </c>
      <c r="AO109" s="57">
        <f t="shared" si="90"/>
        <v>459.3547783500515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88.811936887060739</v>
      </c>
      <c r="AV109" s="21">
        <f>EXP(-LN(2)/25)*AV108+(1-EXP(-LN(2)/25))/(LN(2)/25)*Calculateur!AQ109*Calculateur!AS109*VLOOKUP('Données projet'!$B$10,Paramètres!$A$1:$I$89,3,0)*0.475*44/12</f>
        <v>6.49742226499861</v>
      </c>
      <c r="AW109" s="21">
        <f>EXP(-LN(2)/2)*AW108+(1-EXP(-LN(2)/2))/(LN(2)/2)*AQ109*AT109*VLOOKUP('Données projet'!$B$10,Paramètres!$A$1:$I$89,3,0)*0.475*44/12</f>
        <v>4.3373460695706612E-12</v>
      </c>
      <c r="AX109" s="21">
        <f t="shared" si="60"/>
        <v>95.309359152063678</v>
      </c>
      <c r="AY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852.00000000000011</v>
      </c>
      <c r="BE109" s="13">
        <f>BD109*VLOOKUP('Données projet'!$B$11,Paramètres!$A$1:$I$89,3,0)*VLOOKUP('Données projet'!$B$11,Paramètres!$A$1:$I$89,5,0)</f>
        <v>409.81200000000013</v>
      </c>
      <c r="BF109" s="13">
        <f t="shared" si="91"/>
        <v>93.76308331402879</v>
      </c>
      <c r="BG109" s="20">
        <f t="shared" si="61"/>
        <v>877.05993677193362</v>
      </c>
      <c r="BH109" s="57">
        <f t="shared" si="62"/>
        <v>1170.393270105267</v>
      </c>
      <c r="BI109" s="57">
        <f ca="1">AVERAGE(OFFSET($BH$3,0,0,'Données projet'!$E$11+1,1))-AVERAGE(OFFSET($H$3,0,0,'Données projet'!$E$11+1,1))</f>
        <v>495.6473104257044</v>
      </c>
      <c r="BJ109" s="57">
        <f t="shared" si="92"/>
        <v>430.92527296485201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92.520267912299843</v>
      </c>
      <c r="BQ109" s="21">
        <f>EXP(-LN(2)/25)*BQ108+(1-EXP(-LN(2)/25))/(LN(2)/25)*Calculateur!BL109*Calculateur!BN109*VLOOKUP('Données projet'!$B$11,Paramètres!$A$1:$I$89,3,0)*0.475*44/12</f>
        <v>6.1214140320704464</v>
      </c>
      <c r="BR109" s="21">
        <f>EXP(-LN(2)/2)*BR108+(1-EXP(-LN(2)/2))/(LN(2)/2)*BL109*BO109*VLOOKUP('Données projet'!$B$11,Paramètres!$A$1:$I$89,3,0)*0.475*44/12</f>
        <v>2.6623138876106956E-12</v>
      </c>
      <c r="BS109" s="22">
        <f t="shared" si="63"/>
        <v>98.641681944372948</v>
      </c>
      <c r="BT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7" t="e">
        <f t="shared" si="65"/>
        <v>#NUM!</v>
      </c>
      <c r="CD109" s="57">
        <f ca="1">AVERAGE(OFFSET($CC$3,0,0,'Données projet'!$E$12+1,1))-AVERAGE(OFFSET($H$3,0,0,'Données projet'!$E$12+1,1))</f>
        <v>187.80389738728508</v>
      </c>
      <c r="CE109" s="57">
        <f t="shared" si="94"/>
        <v>439.28159165815265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27.418046307672554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4.4896994582684181E-12</v>
      </c>
      <c r="CN109" s="22">
        <f t="shared" si="66"/>
        <v>27.418046307677045</v>
      </c>
      <c r="CO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4.2</v>
      </c>
      <c r="CT109" s="12">
        <f>IF('Données projet'!$A$140&gt;35,CT108+CS109-DB108,IF(A109&lt;'Données projet'!$A$140,$CQ$205^A109,IF(A109='Données projet'!$A$140,'Données projet'!$B$140,CT108+CS109-DB108)))</f>
        <v>268.2</v>
      </c>
      <c r="CU109" s="17">
        <f>CT109*VLOOKUP('Données projet'!$B$13,Paramètres!$A$1:$I$89,3,0)*VLOOKUP('Données projet'!$B$13,Paramètres!$A$1:$I$89,5,0)</f>
        <v>242.66735999999997</v>
      </c>
      <c r="CV109" s="13">
        <f t="shared" si="95"/>
        <v>59.013056290731797</v>
      </c>
      <c r="CW109" s="20">
        <f t="shared" si="67"/>
        <v>525.42672503969118</v>
      </c>
      <c r="CX109" s="57">
        <f t="shared" si="68"/>
        <v>818.76005837302455</v>
      </c>
      <c r="CY109" s="57">
        <f ca="1">AVERAGE(OFFSET($CX$3,0,0,'Données projet'!$E$13+1,1))-AVERAGE(OFFSET($H$3,0,0,'Données projet'!$E$13+1,1))</f>
        <v>364.3481978218424</v>
      </c>
      <c r="CZ109" s="57">
        <f t="shared" si="96"/>
        <v>231.36959598460686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72.2362627523584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72.2362627523584</v>
      </c>
      <c r="DJ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255.00000000000006</v>
      </c>
      <c r="DP109" s="17">
        <f>DO109*VLOOKUP('Données projet'!$B$14,Paramètres!$A$1:$I$89,3,0)*VLOOKUP('Données projet'!$B$14,Paramètres!$A$1:$I$89,5,0)</f>
        <v>186.96600000000004</v>
      </c>
      <c r="DQ109" s="13">
        <f t="shared" si="97"/>
        <v>46.868551400324648</v>
      </c>
      <c r="DR109" s="20">
        <f t="shared" si="70"/>
        <v>407.26184368889881</v>
      </c>
      <c r="DS109" s="57">
        <f t="shared" si="71"/>
        <v>700.59517702223206</v>
      </c>
      <c r="DT109" s="57">
        <f ca="1">AVERAGE(OFFSET($DS$3,0,0,'Données projet'!$E$14+1,1))-AVERAGE(OFFSET($H$3,0,0,'Données projet'!$E$14+1,1))</f>
        <v>239.25212250019609</v>
      </c>
      <c r="DU109" s="57">
        <f t="shared" si="98"/>
        <v>213.58492101729695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6.4</v>
      </c>
      <c r="EJ109" s="12">
        <f>IF('Données projet'!$A$192&gt;35,EJ108+EI109-ER108,IF(A109&lt;'Données projet'!$A$192,$EG$205^A109,IF(A109='Données projet'!$A$192,'Données projet'!$B$192,EJ108+EI109-ER108)))</f>
        <v>392.4</v>
      </c>
      <c r="EK109" s="17">
        <f>EJ109*VLOOKUP('Données projet'!$B$15,Paramètres!$A$1:$I$89,3,0)*VLOOKUP('Données projet'!$B$15,Paramètres!$A$1:$I$89,5,0)</f>
        <v>336.67919999999998</v>
      </c>
      <c r="EL109" s="13">
        <f t="shared" si="99"/>
        <v>78.813456684086404</v>
      </c>
      <c r="EM109" s="20">
        <f t="shared" si="73"/>
        <v>723.64971039145041</v>
      </c>
      <c r="EN109" s="57">
        <f t="shared" si="74"/>
        <v>1016.9830437247838</v>
      </c>
      <c r="EO109" s="57">
        <f ca="1">AVERAGE(OFFSET($EN$3,0,0,'Données projet'!$E$15+1,1))-AVERAGE(OFFSET($H$3,0,0,'Données projet'!$E$15+1,1))</f>
        <v>447.10969593632467</v>
      </c>
      <c r="EP109" s="57">
        <f t="shared" si="100"/>
        <v>256.77417912163997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106.70395562027369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106.70395562027369</v>
      </c>
      <c r="EZ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7" t="e">
        <f t="shared" si="77"/>
        <v>#N/A</v>
      </c>
      <c r="FJ109" s="57" t="e">
        <f ca="1">AVERAGE(OFFSET($FI$3,0,0,'Données projet'!$E$16+1,1))-AVERAGE(OFFSET($H$3,0,0,'Données projet'!$E$16+1,1))</f>
        <v>#N/A</v>
      </c>
      <c r="FK109" s="57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7" t="e">
        <f t="shared" si="80"/>
        <v>#N/A</v>
      </c>
      <c r="GE109" s="57" t="e">
        <f ca="1">AVERAGE(OFFSET($GD$3,0,0,'Données projet'!$E$17+1,1))-AVERAGE(OFFSET($H$3,0,0,'Données projet'!$E$17+1,1))</f>
        <v>#N/A</v>
      </c>
      <c r="GF109" s="57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7" t="e">
        <f t="shared" si="83"/>
        <v>#N/A</v>
      </c>
      <c r="GZ109" s="57" t="e">
        <f ca="1">AVERAGE(OFFSET($GY$3,0,0,'Données projet'!$E$18+1,1))-AVERAGE(OFFSET($H$3,0,0,'Données projet'!$E$18+1,1))</f>
        <v>#N/A</v>
      </c>
      <c r="HA109" s="57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0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4">
        <f t="shared" si="56"/>
        <v>256.66666666666669</v>
      </c>
      <c r="I110" s="6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636.99999999999977</v>
      </c>
      <c r="O110" s="13">
        <f>N110*VLOOKUP('Données projet'!$B$9,Paramètres!$A$1:$I$89,3,0)*VLOOKUP('Données projet'!$B$9,Paramètres!$A$1:$I$89,5,0)</f>
        <v>356.08299999999991</v>
      </c>
      <c r="P110" s="13">
        <f t="shared" si="87"/>
        <v>82.813805255716545</v>
      </c>
      <c r="Q110" s="20">
        <f t="shared" si="107"/>
        <v>764.41193582037283</v>
      </c>
      <c r="R110" s="57">
        <f t="shared" si="55"/>
        <v>1057.7452691537062</v>
      </c>
      <c r="S110" s="57">
        <f ca="1">AVERAGE(OFFSET($R$3,0,0,'Données projet'!$E$9+1,1))-AVERAGE(OFFSET($H$3,0,0,'Données projet'!$E$9+1,1))</f>
        <v>443.34220761968419</v>
      </c>
      <c r="T110" s="57">
        <f t="shared" si="88"/>
        <v>546.58234447298014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38.529234189763208</v>
      </c>
      <c r="AA110" s="21">
        <f>EXP(-LN(2)/25)*AA109+(1-EXP(-LN(2)/25))/(LN(2)/25)*Calculateur!V110*Calculateur!X110*VLOOKUP('Données projet'!$B$9,Paramètres!$A$1:$I$89,3,0)*0.475*44/12</f>
        <v>2.5942442860501731</v>
      </c>
      <c r="AB110" s="21">
        <f>EXP(-LN(2)/2)*AB109+(1-EXP(-LN(2)/2))/(LN(2)/2)*V110*Y110*VLOOKUP('Données projet'!$B$9,Paramètres!$A$1:$I$89,3,0)*0.475*44/12</f>
        <v>1.5542156749294878E-11</v>
      </c>
      <c r="AC110" s="22">
        <f t="shared" si="57"/>
        <v>41.123478475828918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911.99999999999898</v>
      </c>
      <c r="AJ110" s="13">
        <f>AI110*VLOOKUP('Données projet'!$B$10,Paramètres!$A$1:$I$89,3,0)*VLOOKUP('Données projet'!$B$10,Paramètres!$A$1:$I$89,5,0)</f>
        <v>426.81599999999946</v>
      </c>
      <c r="AK110" s="13">
        <f t="shared" si="89"/>
        <v>97.192496986872399</v>
      </c>
      <c r="AL110" s="20">
        <f t="shared" si="58"/>
        <v>912.64813225213504</v>
      </c>
      <c r="AM110" s="57">
        <f t="shared" si="59"/>
        <v>1205.9814655854684</v>
      </c>
      <c r="AN110" s="57">
        <f ca="1">AVERAGE(OFFSET($AM$3,0,0,'Données projet'!$E$10+1,1))-AVERAGE(OFFSET($H$3,0,0,'Données projet'!$E$10+1,1))</f>
        <v>524.3999528951972</v>
      </c>
      <c r="AO110" s="57">
        <f t="shared" si="90"/>
        <v>459.3547783500515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87.070388974638149</v>
      </c>
      <c r="AV110" s="21">
        <f>EXP(-LN(2)/25)*AV109+(1-EXP(-LN(2)/25))/(LN(2)/25)*Calculateur!AQ110*Calculateur!AS110*VLOOKUP('Données projet'!$B$10,Paramètres!$A$1:$I$89,3,0)*0.475*44/12</f>
        <v>6.3197499114776363</v>
      </c>
      <c r="AW110" s="21">
        <f>EXP(-LN(2)/2)*AW109+(1-EXP(-LN(2)/2))/(LN(2)/2)*AQ110*AT110*VLOOKUP('Données projet'!$B$10,Paramètres!$A$1:$I$89,3,0)*0.475*44/12</f>
        <v>3.0669668181462335E-12</v>
      </c>
      <c r="AX110" s="21">
        <f t="shared" si="60"/>
        <v>93.390138886118848</v>
      </c>
      <c r="AY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852.00000000000011</v>
      </c>
      <c r="BE110" s="13">
        <f>BD110*VLOOKUP('Données projet'!$B$11,Paramètres!$A$1:$I$89,3,0)*VLOOKUP('Données projet'!$B$11,Paramètres!$A$1:$I$89,5,0)</f>
        <v>409.81200000000013</v>
      </c>
      <c r="BF110" s="13">
        <f t="shared" si="91"/>
        <v>93.76308331402879</v>
      </c>
      <c r="BG110" s="20">
        <f t="shared" si="61"/>
        <v>877.05993677193362</v>
      </c>
      <c r="BH110" s="57">
        <f t="shared" si="62"/>
        <v>1170.393270105267</v>
      </c>
      <c r="BI110" s="57">
        <f ca="1">AVERAGE(OFFSET($BH$3,0,0,'Données projet'!$E$11+1,1))-AVERAGE(OFFSET($H$3,0,0,'Données projet'!$E$11+1,1))</f>
        <v>495.6473104257044</v>
      </c>
      <c r="BJ110" s="57">
        <f t="shared" si="92"/>
        <v>430.92527296485201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90.706001890330896</v>
      </c>
      <c r="BQ110" s="21">
        <f>EXP(-LN(2)/25)*BQ109+(1-EXP(-LN(2)/25))/(LN(2)/25)*Calculateur!BL110*Calculateur!BN110*VLOOKUP('Données projet'!$B$11,Paramètres!$A$1:$I$89,3,0)*0.475*44/12</f>
        <v>5.9540236434523068</v>
      </c>
      <c r="BR110" s="21">
        <f>EXP(-LN(2)/2)*BR109+(1-EXP(-LN(2)/2))/(LN(2)/2)*BL110*BO110*VLOOKUP('Données projet'!$B$11,Paramètres!$A$1:$I$89,3,0)*0.475*44/12</f>
        <v>1.8825402035766428E-12</v>
      </c>
      <c r="BS110" s="22">
        <f t="shared" si="63"/>
        <v>96.660025533785074</v>
      </c>
      <c r="BT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7" t="e">
        <f t="shared" si="65"/>
        <v>#NUM!</v>
      </c>
      <c r="CD110" s="57">
        <f ca="1">AVERAGE(OFFSET($CC$3,0,0,'Données projet'!$E$12+1,1))-AVERAGE(OFFSET($H$3,0,0,'Données projet'!$E$12+1,1))</f>
        <v>187.80389738728508</v>
      </c>
      <c r="CE110" s="57">
        <f t="shared" si="94"/>
        <v>439.28159165815265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26.880395142936049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3.1746969324311673E-12</v>
      </c>
      <c r="CN110" s="22">
        <f t="shared" si="66"/>
        <v>26.880395142939225</v>
      </c>
      <c r="CO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4.2</v>
      </c>
      <c r="CT110" s="12">
        <f>IF('Données projet'!$A$140&gt;35,CT109+CS110-DB109,IF(A110&lt;'Données projet'!$A$140,$CQ$205^A110,IF(A110='Données projet'!$A$140,'Données projet'!$B$140,CT109+CS110-DB109)))</f>
        <v>272.39999999999998</v>
      </c>
      <c r="CU110" s="17">
        <f>CT110*VLOOKUP('Données projet'!$B$13,Paramètres!$A$1:$I$89,3,0)*VLOOKUP('Données projet'!$B$13,Paramètres!$A$1:$I$89,5,0)</f>
        <v>246.46751999999995</v>
      </c>
      <c r="CV110" s="13">
        <f t="shared" si="95"/>
        <v>59.828888074216977</v>
      </c>
      <c r="CW110" s="20">
        <f t="shared" si="67"/>
        <v>533.46624406259446</v>
      </c>
      <c r="CX110" s="57">
        <f t="shared" si="68"/>
        <v>826.79957739592783</v>
      </c>
      <c r="CY110" s="57">
        <f ca="1">AVERAGE(OFFSET($CX$3,0,0,'Données projet'!$E$13+1,1))-AVERAGE(OFFSET($H$3,0,0,'Données projet'!$E$13+1,1))</f>
        <v>364.3481978218424</v>
      </c>
      <c r="CZ110" s="57">
        <f t="shared" si="96"/>
        <v>231.36959598460686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70.819753699554383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70.819753699554383</v>
      </c>
      <c r="DJ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255.00000000000006</v>
      </c>
      <c r="DP110" s="17">
        <f>DO110*VLOOKUP('Données projet'!$B$14,Paramètres!$A$1:$I$89,3,0)*VLOOKUP('Données projet'!$B$14,Paramètres!$A$1:$I$89,5,0)</f>
        <v>186.96600000000004</v>
      </c>
      <c r="DQ110" s="13">
        <f t="shared" si="97"/>
        <v>46.868551400324648</v>
      </c>
      <c r="DR110" s="20">
        <f t="shared" si="70"/>
        <v>407.26184368889881</v>
      </c>
      <c r="DS110" s="57">
        <f t="shared" si="71"/>
        <v>700.59517702223206</v>
      </c>
      <c r="DT110" s="57">
        <f ca="1">AVERAGE(OFFSET($DS$3,0,0,'Données projet'!$E$14+1,1))-AVERAGE(OFFSET($H$3,0,0,'Données projet'!$E$14+1,1))</f>
        <v>239.25212250019609</v>
      </c>
      <c r="DU110" s="57">
        <f t="shared" si="98"/>
        <v>213.58492101729695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6.4</v>
      </c>
      <c r="EJ110" s="12">
        <f>IF('Données projet'!$A$192&gt;35,EJ109+EI110-ER109,IF(A110&lt;'Données projet'!$A$192,$EG$205^A110,IF(A110='Données projet'!$A$192,'Données projet'!$B$192,EJ109+EI110-ER109)))</f>
        <v>398.79999999999995</v>
      </c>
      <c r="EK110" s="17">
        <f>EJ110*VLOOKUP('Données projet'!$B$15,Paramètres!$A$1:$I$89,3,0)*VLOOKUP('Données projet'!$B$15,Paramètres!$A$1:$I$89,5,0)</f>
        <v>342.17040000000003</v>
      </c>
      <c r="EL110" s="13">
        <f t="shared" si="99"/>
        <v>79.948198600746707</v>
      </c>
      <c r="EM110" s="20">
        <f t="shared" si="73"/>
        <v>735.1898925629672</v>
      </c>
      <c r="EN110" s="57">
        <f t="shared" si="74"/>
        <v>1028.5232258963006</v>
      </c>
      <c r="EO110" s="57">
        <f ca="1">AVERAGE(OFFSET($EN$3,0,0,'Données projet'!$E$15+1,1))-AVERAGE(OFFSET($H$3,0,0,'Données projet'!$E$15+1,1))</f>
        <v>447.10969593632467</v>
      </c>
      <c r="EP110" s="57">
        <f t="shared" si="100"/>
        <v>256.77417912163997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104.61155613354664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104.61155613354664</v>
      </c>
      <c r="EZ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7" t="e">
        <f t="shared" si="77"/>
        <v>#N/A</v>
      </c>
      <c r="FJ110" s="57" t="e">
        <f ca="1">AVERAGE(OFFSET($FI$3,0,0,'Données projet'!$E$16+1,1))-AVERAGE(OFFSET($H$3,0,0,'Données projet'!$E$16+1,1))</f>
        <v>#N/A</v>
      </c>
      <c r="FK110" s="57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7" t="e">
        <f t="shared" si="80"/>
        <v>#N/A</v>
      </c>
      <c r="GE110" s="57" t="e">
        <f ca="1">AVERAGE(OFFSET($GD$3,0,0,'Données projet'!$E$17+1,1))-AVERAGE(OFFSET($H$3,0,0,'Données projet'!$E$17+1,1))</f>
        <v>#N/A</v>
      </c>
      <c r="GF110" s="57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7" t="e">
        <f t="shared" si="83"/>
        <v>#N/A</v>
      </c>
      <c r="GZ110" s="57" t="e">
        <f ca="1">AVERAGE(OFFSET($GY$3,0,0,'Données projet'!$E$18+1,1))-AVERAGE(OFFSET($H$3,0,0,'Données projet'!$E$18+1,1))</f>
        <v>#N/A</v>
      </c>
      <c r="HA110" s="57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0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4">
        <f t="shared" si="56"/>
        <v>256.66666666666669</v>
      </c>
      <c r="I111" s="6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636.99999999999977</v>
      </c>
      <c r="O111" s="13">
        <f>N111*VLOOKUP('Données projet'!$B$9,Paramètres!$A$1:$I$89,3,0)*VLOOKUP('Données projet'!$B$9,Paramètres!$A$1:$I$89,5,0)</f>
        <v>356.08299999999991</v>
      </c>
      <c r="P111" s="13">
        <f t="shared" si="87"/>
        <v>82.813805255716545</v>
      </c>
      <c r="Q111" s="20">
        <f t="shared" si="107"/>
        <v>764.41193582037283</v>
      </c>
      <c r="R111" s="57">
        <f t="shared" si="55"/>
        <v>1057.7452691537062</v>
      </c>
      <c r="S111" s="57">
        <f ca="1">AVERAGE(OFFSET($R$3,0,0,'Données projet'!$E$9+1,1))-AVERAGE(OFFSET($H$3,0,0,'Données projet'!$E$9+1,1))</f>
        <v>443.34220761968419</v>
      </c>
      <c r="T111" s="57">
        <f t="shared" si="88"/>
        <v>546.58234447298014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37.773699407814327</v>
      </c>
      <c r="AA111" s="21">
        <f>EXP(-LN(2)/25)*AA110+(1-EXP(-LN(2)/25))/(LN(2)/25)*Calculateur!V111*Calculateur!X111*VLOOKUP('Données projet'!$B$9,Paramètres!$A$1:$I$89,3,0)*0.475*44/12</f>
        <v>2.5233045396227531</v>
      </c>
      <c r="AB111" s="21">
        <f>EXP(-LN(2)/2)*AB110+(1-EXP(-LN(2)/2))/(LN(2)/2)*V111*Y111*VLOOKUP('Données projet'!$B$9,Paramètres!$A$1:$I$89,3,0)*0.475*44/12</f>
        <v>1.0989964431690677E-11</v>
      </c>
      <c r="AC111" s="22">
        <f t="shared" si="57"/>
        <v>40.297003947448069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911.99999999999898</v>
      </c>
      <c r="AJ111" s="13">
        <f>AI111*VLOOKUP('Données projet'!$B$10,Paramètres!$A$1:$I$89,3,0)*VLOOKUP('Données projet'!$B$10,Paramètres!$A$1:$I$89,5,0)</f>
        <v>426.81599999999946</v>
      </c>
      <c r="AK111" s="13">
        <f t="shared" si="89"/>
        <v>97.192496986872399</v>
      </c>
      <c r="AL111" s="20">
        <f t="shared" si="58"/>
        <v>912.64813225213504</v>
      </c>
      <c r="AM111" s="57">
        <f t="shared" si="59"/>
        <v>1205.9814655854684</v>
      </c>
      <c r="AN111" s="57">
        <f ca="1">AVERAGE(OFFSET($AM$3,0,0,'Données projet'!$E$10+1,1))-AVERAGE(OFFSET($H$3,0,0,'Données projet'!$E$10+1,1))</f>
        <v>524.3999528951972</v>
      </c>
      <c r="AO111" s="57">
        <f t="shared" si="90"/>
        <v>459.3547783500515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85.362991754538825</v>
      </c>
      <c r="AV111" s="21">
        <f>EXP(-LN(2)/25)*AV110+(1-EXP(-LN(2)/25))/(LN(2)/25)*Calculateur!AQ111*Calculateur!AS111*VLOOKUP('Données projet'!$B$10,Paramètres!$A$1:$I$89,3,0)*0.475*44/12</f>
        <v>6.1469360178070769</v>
      </c>
      <c r="AW111" s="21">
        <f>EXP(-LN(2)/2)*AW110+(1-EXP(-LN(2)/2))/(LN(2)/2)*AQ111*AT111*VLOOKUP('Données projet'!$B$10,Paramètres!$A$1:$I$89,3,0)*0.475*44/12</f>
        <v>2.1686730347853306E-12</v>
      </c>
      <c r="AX111" s="21">
        <f t="shared" si="60"/>
        <v>91.509927772348078</v>
      </c>
      <c r="AY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852.00000000000011</v>
      </c>
      <c r="BE111" s="13">
        <f>BD111*VLOOKUP('Données projet'!$B$11,Paramètres!$A$1:$I$89,3,0)*VLOOKUP('Données projet'!$B$11,Paramètres!$A$1:$I$89,5,0)</f>
        <v>409.81200000000013</v>
      </c>
      <c r="BF111" s="13">
        <f t="shared" si="91"/>
        <v>93.76308331402879</v>
      </c>
      <c r="BG111" s="20">
        <f t="shared" si="61"/>
        <v>877.05993677193362</v>
      </c>
      <c r="BH111" s="57">
        <f t="shared" si="62"/>
        <v>1170.393270105267</v>
      </c>
      <c r="BI111" s="57">
        <f ca="1">AVERAGE(OFFSET($BH$3,0,0,'Données projet'!$E$11+1,1))-AVERAGE(OFFSET($H$3,0,0,'Données projet'!$E$11+1,1))</f>
        <v>495.6473104257044</v>
      </c>
      <c r="BJ111" s="57">
        <f t="shared" si="92"/>
        <v>430.92527296485201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88.927312518459757</v>
      </c>
      <c r="BQ111" s="21">
        <f>EXP(-LN(2)/25)*BQ110+(1-EXP(-LN(2)/25))/(LN(2)/25)*Calculateur!BL111*Calculateur!BN111*VLOOKUP('Données projet'!$B$11,Paramètres!$A$1:$I$89,3,0)*0.475*44/12</f>
        <v>5.7912105538136078</v>
      </c>
      <c r="BR111" s="21">
        <f>EXP(-LN(2)/2)*BR110+(1-EXP(-LN(2)/2))/(LN(2)/2)*BL111*BO111*VLOOKUP('Données projet'!$B$11,Paramètres!$A$1:$I$89,3,0)*0.475*44/12</f>
        <v>1.3311569438053478E-12</v>
      </c>
      <c r="BS111" s="22">
        <f t="shared" si="63"/>
        <v>94.718523072274706</v>
      </c>
      <c r="BT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7" t="e">
        <f t="shared" si="65"/>
        <v>#NUM!</v>
      </c>
      <c r="CD111" s="57">
        <f ca="1">AVERAGE(OFFSET($CC$3,0,0,'Données projet'!$E$12+1,1))-AVERAGE(OFFSET($H$3,0,0,'Données projet'!$E$12+1,1))</f>
        <v>187.80389738728508</v>
      </c>
      <c r="CE111" s="57">
        <f t="shared" si="94"/>
        <v>439.28159165815265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26.353286989605195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2.244849729134209E-12</v>
      </c>
      <c r="CN111" s="22">
        <f t="shared" si="66"/>
        <v>26.35328698960744</v>
      </c>
      <c r="CO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4.2</v>
      </c>
      <c r="CT111" s="12">
        <f>IF('Données projet'!$A$140&gt;35,CT110+CS111-DB110,IF(A111&lt;'Données projet'!$A$140,$CQ$205^A111,IF(A111='Données projet'!$A$140,'Données projet'!$B$140,CT110+CS111-DB110)))</f>
        <v>276.59999999999997</v>
      </c>
      <c r="CU111" s="17">
        <f>CT111*VLOOKUP('Données projet'!$B$13,Paramètres!$A$1:$I$89,3,0)*VLOOKUP('Données projet'!$B$13,Paramètres!$A$1:$I$89,5,0)</f>
        <v>250.26767999999996</v>
      </c>
      <c r="CV111" s="13">
        <f t="shared" si="95"/>
        <v>60.643256925083442</v>
      </c>
      <c r="CW111" s="20">
        <f t="shared" si="67"/>
        <v>541.50321514452014</v>
      </c>
      <c r="CX111" s="57">
        <f t="shared" si="68"/>
        <v>834.83654847785351</v>
      </c>
      <c r="CY111" s="57">
        <f ca="1">AVERAGE(OFFSET($CX$3,0,0,'Données projet'!$E$13+1,1))-AVERAGE(OFFSET($H$3,0,0,'Données projet'!$E$13+1,1))</f>
        <v>364.3481978218424</v>
      </c>
      <c r="CZ111" s="57">
        <f t="shared" si="96"/>
        <v>231.36959598460686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69.431021525290646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69.431021525290646</v>
      </c>
      <c r="DJ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255.00000000000006</v>
      </c>
      <c r="DP111" s="17">
        <f>DO111*VLOOKUP('Données projet'!$B$14,Paramètres!$A$1:$I$89,3,0)*VLOOKUP('Données projet'!$B$14,Paramètres!$A$1:$I$89,5,0)</f>
        <v>186.96600000000004</v>
      </c>
      <c r="DQ111" s="13">
        <f t="shared" si="97"/>
        <v>46.868551400324648</v>
      </c>
      <c r="DR111" s="20">
        <f t="shared" si="70"/>
        <v>407.26184368889881</v>
      </c>
      <c r="DS111" s="57">
        <f t="shared" si="71"/>
        <v>700.59517702223206</v>
      </c>
      <c r="DT111" s="57">
        <f ca="1">AVERAGE(OFFSET($DS$3,0,0,'Données projet'!$E$14+1,1))-AVERAGE(OFFSET($H$3,0,0,'Données projet'!$E$14+1,1))</f>
        <v>239.25212250019609</v>
      </c>
      <c r="DU111" s="57">
        <f t="shared" si="98"/>
        <v>213.58492101729695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6.4</v>
      </c>
      <c r="EJ111" s="12">
        <f>IF('Données projet'!$A$192&gt;35,EJ110+EI111-ER110,IF(A111&lt;'Données projet'!$A$192,$EG$205^A111,IF(A111='Données projet'!$A$192,'Données projet'!$B$192,EJ110+EI111-ER110)))</f>
        <v>405.19999999999993</v>
      </c>
      <c r="EK111" s="17">
        <f>EJ111*VLOOKUP('Données projet'!$B$15,Paramètres!$A$1:$I$89,3,0)*VLOOKUP('Données projet'!$B$15,Paramètres!$A$1:$I$89,5,0)</f>
        <v>347.66159999999996</v>
      </c>
      <c r="EL111" s="13">
        <f t="shared" si="99"/>
        <v>81.080822697416465</v>
      </c>
      <c r="EM111" s="20">
        <f t="shared" si="73"/>
        <v>746.72638619800034</v>
      </c>
      <c r="EN111" s="57">
        <f t="shared" si="74"/>
        <v>1040.0597195313337</v>
      </c>
      <c r="EO111" s="57">
        <f ca="1">AVERAGE(OFFSET($EN$3,0,0,'Données projet'!$E$15+1,1))-AVERAGE(OFFSET($H$3,0,0,'Données projet'!$E$15+1,1))</f>
        <v>447.10969593632467</v>
      </c>
      <c r="EP111" s="57">
        <f t="shared" si="100"/>
        <v>256.77417912163997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102.56018732451665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102.56018732451665</v>
      </c>
      <c r="EZ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7" t="e">
        <f t="shared" si="77"/>
        <v>#N/A</v>
      </c>
      <c r="FJ111" s="57" t="e">
        <f ca="1">AVERAGE(OFFSET($FI$3,0,0,'Données projet'!$E$16+1,1))-AVERAGE(OFFSET($H$3,0,0,'Données projet'!$E$16+1,1))</f>
        <v>#N/A</v>
      </c>
      <c r="FK111" s="57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7" t="e">
        <f t="shared" si="80"/>
        <v>#N/A</v>
      </c>
      <c r="GE111" s="57" t="e">
        <f ca="1">AVERAGE(OFFSET($GD$3,0,0,'Données projet'!$E$17+1,1))-AVERAGE(OFFSET($H$3,0,0,'Données projet'!$E$17+1,1))</f>
        <v>#N/A</v>
      </c>
      <c r="GF111" s="57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7" t="e">
        <f t="shared" si="83"/>
        <v>#N/A</v>
      </c>
      <c r="GZ111" s="57" t="e">
        <f ca="1">AVERAGE(OFFSET($GY$3,0,0,'Données projet'!$E$18+1,1))-AVERAGE(OFFSET($H$3,0,0,'Données projet'!$E$18+1,1))</f>
        <v>#N/A</v>
      </c>
      <c r="HA111" s="57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0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4">
        <f t="shared" si="56"/>
        <v>256.66666666666669</v>
      </c>
      <c r="I112" s="6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636.99999999999977</v>
      </c>
      <c r="O112" s="13">
        <f>N112*VLOOKUP('Données projet'!$B$9,Paramètres!$A$1:$I$89,3,0)*VLOOKUP('Données projet'!$B$9,Paramètres!$A$1:$I$89,5,0)</f>
        <v>356.08299999999991</v>
      </c>
      <c r="P112" s="13">
        <f t="shared" si="87"/>
        <v>82.813805255716545</v>
      </c>
      <c r="Q112" s="20">
        <f t="shared" si="107"/>
        <v>764.41193582037283</v>
      </c>
      <c r="R112" s="57">
        <f t="shared" si="55"/>
        <v>1057.7452691537062</v>
      </c>
      <c r="S112" s="57">
        <f ca="1">AVERAGE(OFFSET($R$3,0,0,'Données projet'!$E$9+1,1))-AVERAGE(OFFSET($H$3,0,0,'Données projet'!$E$9+1,1))</f>
        <v>443.34220761968419</v>
      </c>
      <c r="T112" s="57">
        <f t="shared" si="88"/>
        <v>546.58234447298014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37.032980202108746</v>
      </c>
      <c r="AA112" s="21">
        <f>EXP(-LN(2)/25)*AA111+(1-EXP(-LN(2)/25))/(LN(2)/25)*Calculateur!V112*Calculateur!X112*VLOOKUP('Données projet'!$B$9,Paramètres!$A$1:$I$89,3,0)*0.475*44/12</f>
        <v>2.4543046442919505</v>
      </c>
      <c r="AB112" s="21">
        <f>EXP(-LN(2)/2)*AB111+(1-EXP(-LN(2)/2))/(LN(2)/2)*V112*Y112*VLOOKUP('Données projet'!$B$9,Paramètres!$A$1:$I$89,3,0)*0.475*44/12</f>
        <v>7.7710783746474392E-12</v>
      </c>
      <c r="AC112" s="22">
        <f t="shared" si="57"/>
        <v>39.487284846408471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911.99999999999898</v>
      </c>
      <c r="AJ112" s="13">
        <f>AI112*VLOOKUP('Données projet'!$B$10,Paramètres!$A$1:$I$89,3,0)*VLOOKUP('Données projet'!$B$10,Paramètres!$A$1:$I$89,5,0)</f>
        <v>426.81599999999946</v>
      </c>
      <c r="AK112" s="13">
        <f t="shared" si="89"/>
        <v>97.192496986872399</v>
      </c>
      <c r="AL112" s="20">
        <f t="shared" si="58"/>
        <v>912.64813225213504</v>
      </c>
      <c r="AM112" s="57">
        <f t="shared" si="59"/>
        <v>1205.9814655854684</v>
      </c>
      <c r="AN112" s="57">
        <f ca="1">AVERAGE(OFFSET($AM$3,0,0,'Données projet'!$E$10+1,1))-AVERAGE(OFFSET($H$3,0,0,'Données projet'!$E$10+1,1))</f>
        <v>524.3999528951972</v>
      </c>
      <c r="AO112" s="57">
        <f t="shared" si="90"/>
        <v>459.3547783500515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83.689075552516172</v>
      </c>
      <c r="AV112" s="21">
        <f>EXP(-LN(2)/25)*AV111+(1-EXP(-LN(2)/25))/(LN(2)/25)*Calculateur!AQ112*Calculateur!AS112*VLOOKUP('Données projet'!$B$10,Paramètres!$A$1:$I$89,3,0)*0.475*44/12</f>
        <v>5.9788477291468265</v>
      </c>
      <c r="AW112" s="21">
        <f>EXP(-LN(2)/2)*AW111+(1-EXP(-LN(2)/2))/(LN(2)/2)*AQ112*AT112*VLOOKUP('Données projet'!$B$10,Paramètres!$A$1:$I$89,3,0)*0.475*44/12</f>
        <v>1.5334834090731167E-12</v>
      </c>
      <c r="AX112" s="21">
        <f t="shared" si="60"/>
        <v>89.667923281664528</v>
      </c>
      <c r="AY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852.00000000000011</v>
      </c>
      <c r="BE112" s="13">
        <f>BD112*VLOOKUP('Données projet'!$B$11,Paramètres!$A$1:$I$89,3,0)*VLOOKUP('Données projet'!$B$11,Paramètres!$A$1:$I$89,5,0)</f>
        <v>409.81200000000013</v>
      </c>
      <c r="BF112" s="13">
        <f t="shared" si="91"/>
        <v>93.76308331402879</v>
      </c>
      <c r="BG112" s="20">
        <f t="shared" si="61"/>
        <v>877.05993677193362</v>
      </c>
      <c r="BH112" s="57">
        <f t="shared" si="62"/>
        <v>1170.393270105267</v>
      </c>
      <c r="BI112" s="57">
        <f ca="1">AVERAGE(OFFSET($BH$3,0,0,'Données projet'!$E$11+1,1))-AVERAGE(OFFSET($H$3,0,0,'Données projet'!$E$11+1,1))</f>
        <v>495.6473104257044</v>
      </c>
      <c r="BJ112" s="57">
        <f t="shared" si="92"/>
        <v>430.92527296485201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87.183502160277612</v>
      </c>
      <c r="BQ112" s="21">
        <f>EXP(-LN(2)/25)*BQ111+(1-EXP(-LN(2)/25))/(LN(2)/25)*Calculateur!BL112*Calculateur!BN112*VLOOKUP('Données projet'!$B$11,Paramètres!$A$1:$I$89,3,0)*0.475*44/12</f>
        <v>5.6328495966730481</v>
      </c>
      <c r="BR112" s="21">
        <f>EXP(-LN(2)/2)*BR111+(1-EXP(-LN(2)/2))/(LN(2)/2)*BL112*BO112*VLOOKUP('Données projet'!$B$11,Paramètres!$A$1:$I$89,3,0)*0.475*44/12</f>
        <v>9.4127010178832141E-13</v>
      </c>
      <c r="BS112" s="22">
        <f t="shared" si="63"/>
        <v>92.816351756951605</v>
      </c>
      <c r="BT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7" t="e">
        <f t="shared" si="65"/>
        <v>#NUM!</v>
      </c>
      <c r="CD112" s="57">
        <f ca="1">AVERAGE(OFFSET($CC$3,0,0,'Données projet'!$E$12+1,1))-AVERAGE(OFFSET($H$3,0,0,'Données projet'!$E$12+1,1))</f>
        <v>187.80389738728508</v>
      </c>
      <c r="CE112" s="57">
        <f t="shared" si="94"/>
        <v>439.28159165815265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25.836515105656932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1.5873484662155837E-12</v>
      </c>
      <c r="CN112" s="22">
        <f t="shared" si="66"/>
        <v>25.83651510565852</v>
      </c>
      <c r="CO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4.2</v>
      </c>
      <c r="CT112" s="12">
        <f>IF('Données projet'!$A$140&gt;35,CT111+CS112-DB111,IF(A112&lt;'Données projet'!$A$140,$CQ$205^A112,IF(A112='Données projet'!$A$140,'Données projet'!$B$140,CT111+CS112-DB111)))</f>
        <v>280.79999999999995</v>
      </c>
      <c r="CU112" s="17">
        <f>CT112*VLOOKUP('Données projet'!$B$13,Paramètres!$A$1:$I$89,3,0)*VLOOKUP('Données projet'!$B$13,Paramètres!$A$1:$I$89,5,0)</f>
        <v>254.06783999999996</v>
      </c>
      <c r="CV112" s="13">
        <f t="shared" si="95"/>
        <v>61.456187622750718</v>
      </c>
      <c r="CW112" s="20">
        <f t="shared" si="67"/>
        <v>549.53768144295748</v>
      </c>
      <c r="CX112" s="57">
        <f t="shared" si="68"/>
        <v>842.87101477629085</v>
      </c>
      <c r="CY112" s="57">
        <f ca="1">AVERAGE(OFFSET($CX$3,0,0,'Données projet'!$E$13+1,1))-AVERAGE(OFFSET($H$3,0,0,'Données projet'!$E$13+1,1))</f>
        <v>364.3481978218424</v>
      </c>
      <c r="CZ112" s="57">
        <f t="shared" si="96"/>
        <v>231.36959598460686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68.069521541921233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68.069521541921233</v>
      </c>
      <c r="DJ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255.00000000000006</v>
      </c>
      <c r="DP112" s="17">
        <f>DO112*VLOOKUP('Données projet'!$B$14,Paramètres!$A$1:$I$89,3,0)*VLOOKUP('Données projet'!$B$14,Paramètres!$A$1:$I$89,5,0)</f>
        <v>186.96600000000004</v>
      </c>
      <c r="DQ112" s="13">
        <f t="shared" si="97"/>
        <v>46.868551400324648</v>
      </c>
      <c r="DR112" s="20">
        <f t="shared" si="70"/>
        <v>407.26184368889881</v>
      </c>
      <c r="DS112" s="57">
        <f t="shared" si="71"/>
        <v>700.59517702223206</v>
      </c>
      <c r="DT112" s="57">
        <f ca="1">AVERAGE(OFFSET($DS$3,0,0,'Données projet'!$E$14+1,1))-AVERAGE(OFFSET($H$3,0,0,'Données projet'!$E$14+1,1))</f>
        <v>239.25212250019609</v>
      </c>
      <c r="DU112" s="57">
        <f t="shared" si="98"/>
        <v>213.58492101729695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6.4</v>
      </c>
      <c r="EJ112" s="12">
        <f>IF('Données projet'!$A$192&gt;35,EJ111+EI112-ER111,IF(A112&lt;'Données projet'!$A$192,$EG$205^A112,IF(A112='Données projet'!$A$192,'Données projet'!$B$192,EJ111+EI112-ER111)))</f>
        <v>411.59999999999991</v>
      </c>
      <c r="EK112" s="17">
        <f>EJ112*VLOOKUP('Données projet'!$B$15,Paramètres!$A$1:$I$89,3,0)*VLOOKUP('Données projet'!$B$15,Paramètres!$A$1:$I$89,5,0)</f>
        <v>353.15279999999996</v>
      </c>
      <c r="EL112" s="13">
        <f t="shared" si="99"/>
        <v>82.211366286790636</v>
      </c>
      <c r="EM112" s="20">
        <f t="shared" si="73"/>
        <v>758.25925628282687</v>
      </c>
      <c r="EN112" s="57">
        <f t="shared" si="74"/>
        <v>1051.5925896161602</v>
      </c>
      <c r="EO112" s="57">
        <f ca="1">AVERAGE(OFFSET($EN$3,0,0,'Données projet'!$E$15+1,1))-AVERAGE(OFFSET($H$3,0,0,'Données projet'!$E$15+1,1))</f>
        <v>447.10969593632467</v>
      </c>
      <c r="EP112" s="57">
        <f t="shared" si="100"/>
        <v>256.77417912163997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100.5490446066203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100.5490446066203</v>
      </c>
      <c r="EZ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7" t="e">
        <f t="shared" si="77"/>
        <v>#N/A</v>
      </c>
      <c r="FJ112" s="57" t="e">
        <f ca="1">AVERAGE(OFFSET($FI$3,0,0,'Données projet'!$E$16+1,1))-AVERAGE(OFFSET($H$3,0,0,'Données projet'!$E$16+1,1))</f>
        <v>#N/A</v>
      </c>
      <c r="FK112" s="57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7" t="e">
        <f t="shared" si="80"/>
        <v>#N/A</v>
      </c>
      <c r="GE112" s="57" t="e">
        <f ca="1">AVERAGE(OFFSET($GD$3,0,0,'Données projet'!$E$17+1,1))-AVERAGE(OFFSET($H$3,0,0,'Données projet'!$E$17+1,1))</f>
        <v>#N/A</v>
      </c>
      <c r="GF112" s="57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7" t="e">
        <f t="shared" si="83"/>
        <v>#N/A</v>
      </c>
      <c r="GZ112" s="57" t="e">
        <f ca="1">AVERAGE(OFFSET($GY$3,0,0,'Données projet'!$E$18+1,1))-AVERAGE(OFFSET($H$3,0,0,'Données projet'!$E$18+1,1))</f>
        <v>#N/A</v>
      </c>
      <c r="HA112" s="57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0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4">
        <f t="shared" si="56"/>
        <v>256.66666666666669</v>
      </c>
      <c r="I113" s="6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636.99999999999977</v>
      </c>
      <c r="O113" s="13">
        <f>N113*VLOOKUP('Données projet'!$B$9,Paramètres!$A$1:$I$89,3,0)*VLOOKUP('Données projet'!$B$9,Paramètres!$A$1:$I$89,5,0)</f>
        <v>356.08299999999991</v>
      </c>
      <c r="P113" s="13">
        <f t="shared" si="87"/>
        <v>82.813805255716545</v>
      </c>
      <c r="Q113" s="20">
        <f t="shared" si="107"/>
        <v>764.41193582037283</v>
      </c>
      <c r="R113" s="57">
        <f t="shared" si="55"/>
        <v>1057.7452691537062</v>
      </c>
      <c r="S113" s="57">
        <f ca="1">AVERAGE(OFFSET($R$3,0,0,'Données projet'!$E$9+1,1))-AVERAGE(OFFSET($H$3,0,0,'Données projet'!$E$9+1,1))</f>
        <v>443.34220761968419</v>
      </c>
      <c r="T113" s="57">
        <f t="shared" si="88"/>
        <v>546.58234447298014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36.306786048232951</v>
      </c>
      <c r="AA113" s="21">
        <f>EXP(-LN(2)/25)*AA112+(1-EXP(-LN(2)/25))/(LN(2)/25)*Calculateur!V113*Calculateur!X113*VLOOKUP('Données projet'!$B$9,Paramètres!$A$1:$I$89,3,0)*0.475*44/12</f>
        <v>2.3871915547275151</v>
      </c>
      <c r="AB113" s="21">
        <f>EXP(-LN(2)/2)*AB112+(1-EXP(-LN(2)/2))/(LN(2)/2)*V113*Y113*VLOOKUP('Données projet'!$B$9,Paramètres!$A$1:$I$89,3,0)*0.475*44/12</f>
        <v>5.4949822158453383E-12</v>
      </c>
      <c r="AC113" s="22">
        <f t="shared" si="57"/>
        <v>38.693977602965958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911.99999999999898</v>
      </c>
      <c r="AJ113" s="13">
        <f>AI113*VLOOKUP('Données projet'!$B$10,Paramètres!$A$1:$I$89,3,0)*VLOOKUP('Données projet'!$B$10,Paramètres!$A$1:$I$89,5,0)</f>
        <v>426.81599999999946</v>
      </c>
      <c r="AK113" s="13">
        <f t="shared" si="89"/>
        <v>97.192496986872399</v>
      </c>
      <c r="AL113" s="20">
        <f t="shared" si="58"/>
        <v>912.64813225213504</v>
      </c>
      <c r="AM113" s="57">
        <f t="shared" si="59"/>
        <v>1205.9814655854684</v>
      </c>
      <c r="AN113" s="57">
        <f ca="1">AVERAGE(OFFSET($AM$3,0,0,'Données projet'!$E$10+1,1))-AVERAGE(OFFSET($H$3,0,0,'Données projet'!$E$10+1,1))</f>
        <v>524.3999528951972</v>
      </c>
      <c r="AO113" s="57">
        <f t="shared" si="90"/>
        <v>459.3547783500515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82.04798382622711</v>
      </c>
      <c r="AV113" s="21">
        <f>EXP(-LN(2)/25)*AV112+(1-EXP(-LN(2)/25))/(LN(2)/25)*Calculateur!AQ113*Calculateur!AS113*VLOOKUP('Données projet'!$B$10,Paramètres!$A$1:$I$89,3,0)*0.475*44/12</f>
        <v>5.8153558235793694</v>
      </c>
      <c r="AW113" s="21">
        <f>EXP(-LN(2)/2)*AW112+(1-EXP(-LN(2)/2))/(LN(2)/2)*AQ113*AT113*VLOOKUP('Données projet'!$B$10,Paramètres!$A$1:$I$89,3,0)*0.475*44/12</f>
        <v>1.0843365173926653E-12</v>
      </c>
      <c r="AX113" s="21">
        <f t="shared" si="60"/>
        <v>87.863339649807557</v>
      </c>
      <c r="AY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852.00000000000011</v>
      </c>
      <c r="BE113" s="13">
        <f>BD113*VLOOKUP('Données projet'!$B$11,Paramètres!$A$1:$I$89,3,0)*VLOOKUP('Données projet'!$B$11,Paramètres!$A$1:$I$89,5,0)</f>
        <v>409.81200000000013</v>
      </c>
      <c r="BF113" s="13">
        <f t="shared" si="91"/>
        <v>93.76308331402879</v>
      </c>
      <c r="BG113" s="20">
        <f t="shared" si="61"/>
        <v>877.05993677193362</v>
      </c>
      <c r="BH113" s="57">
        <f t="shared" si="62"/>
        <v>1170.393270105267</v>
      </c>
      <c r="BI113" s="57">
        <f ca="1">AVERAGE(OFFSET($BH$3,0,0,'Données projet'!$E$11+1,1))-AVERAGE(OFFSET($H$3,0,0,'Données projet'!$E$11+1,1))</f>
        <v>495.6473104257044</v>
      </c>
      <c r="BJ113" s="57">
        <f t="shared" si="92"/>
        <v>430.92527296485201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85.473886859600128</v>
      </c>
      <c r="BQ113" s="21">
        <f>EXP(-LN(2)/25)*BQ112+(1-EXP(-LN(2)/25))/(LN(2)/25)*Calculateur!BL113*Calculateur!BN113*VLOOKUP('Données projet'!$B$11,Paramètres!$A$1:$I$89,3,0)*0.475*44/12</f>
        <v>5.4788190282333371</v>
      </c>
      <c r="BR113" s="21">
        <f>EXP(-LN(2)/2)*BR112+(1-EXP(-LN(2)/2))/(LN(2)/2)*BL113*BO113*VLOOKUP('Données projet'!$B$11,Paramètres!$A$1:$I$89,3,0)*0.475*44/12</f>
        <v>6.655784719026739E-13</v>
      </c>
      <c r="BS113" s="22">
        <f t="shared" si="63"/>
        <v>90.952705887834128</v>
      </c>
      <c r="BT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7" t="e">
        <f t="shared" si="65"/>
        <v>#NUM!</v>
      </c>
      <c r="CD113" s="57">
        <f ca="1">AVERAGE(OFFSET($CC$3,0,0,'Données projet'!$E$12+1,1))-AVERAGE(OFFSET($H$3,0,0,'Données projet'!$E$12+1,1))</f>
        <v>187.80389738728508</v>
      </c>
      <c r="CE113" s="57">
        <f t="shared" si="94"/>
        <v>439.28159165815265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25.329876803153169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1.1224248645671045E-12</v>
      </c>
      <c r="CN113" s="22">
        <f t="shared" si="66"/>
        <v>25.329876803154292</v>
      </c>
      <c r="CO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285</v>
      </c>
      <c r="CR113" s="12">
        <f>VLOOKUP(A113,'Données projet'!$A$139:$I$159,9,0)</f>
        <v>4.2</v>
      </c>
      <c r="CS113" s="12">
        <f t="array" ref="CS113">INDEX(CR:CR,MIN(IF(ISNUMBER(CR113:CR309),ROW(CR113:CR309),"")))</f>
        <v>4.2</v>
      </c>
      <c r="CT113" s="12">
        <f>IF('Données projet'!$A$140&gt;35,CT112+CS113-DB112,IF(A113&lt;'Données projet'!$A$140,$CQ$205^A113,IF(A113='Données projet'!$A$140,'Données projet'!$B$140,CT112+CS113-DB112)))</f>
        <v>284.99999999999994</v>
      </c>
      <c r="CU113" s="17">
        <f>CT113*VLOOKUP('Données projet'!$B$13,Paramètres!$A$1:$I$89,3,0)*VLOOKUP('Données projet'!$B$13,Paramètres!$A$1:$I$89,5,0)</f>
        <v>257.86799999999994</v>
      </c>
      <c r="CV113" s="13">
        <f t="shared" si="95"/>
        <v>62.267704162827528</v>
      </c>
      <c r="CW113" s="20">
        <f t="shared" si="67"/>
        <v>557.56968475025781</v>
      </c>
      <c r="CX113" s="57">
        <f t="shared" si="68"/>
        <v>850.90301808359118</v>
      </c>
      <c r="CY113" s="57">
        <f ca="1">AVERAGE(OFFSET($CX$3,0,0,'Données projet'!$E$13+1,1))-AVERAGE(OFFSET($H$3,0,0,'Données projet'!$E$13+1,1))</f>
        <v>364.3481978218424</v>
      </c>
      <c r="CZ113" s="57">
        <f t="shared" si="96"/>
        <v>231.36959598460686</v>
      </c>
      <c r="DA113" s="15">
        <f>IF(ISNA(VLOOKUP(A113,'Données projet'!$A$139:$I$159,3,0)),0,VLOOKUP(A113,'Données projet'!$A$139:$I$159,3,0))</f>
        <v>18</v>
      </c>
      <c r="DB113" s="15">
        <f>IF(ISNA(VLOOKUP(A113,'Données projet'!$A$139:$I$159,4,0)),0,VLOOKUP(A113,'Données projet'!$A$139:$I$159,4,0))</f>
        <v>19</v>
      </c>
      <c r="DC113" s="16">
        <f>IF(ISNA(VLOOKUP(A113,'Données projet'!$A$139:$I$159,5,0)),0%,VLOOKUP(A113,'Données projet'!$A$139:$I$159,5,0)*VLOOKUP('Données projet'!$B$13,Paramètres!$A$1:$I$89,7,0))</f>
        <v>0.43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74.906595569902251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74.906595569902251</v>
      </c>
      <c r="DJ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255.00000000000006</v>
      </c>
      <c r="DP113" s="17">
        <f>DO113*VLOOKUP('Données projet'!$B$14,Paramètres!$A$1:$I$89,3,0)*VLOOKUP('Données projet'!$B$14,Paramètres!$A$1:$I$89,5,0)</f>
        <v>186.96600000000004</v>
      </c>
      <c r="DQ113" s="13">
        <f t="shared" si="97"/>
        <v>46.868551400324648</v>
      </c>
      <c r="DR113" s="20">
        <f t="shared" si="70"/>
        <v>407.26184368889881</v>
      </c>
      <c r="DS113" s="57">
        <f t="shared" si="71"/>
        <v>700.59517702223206</v>
      </c>
      <c r="DT113" s="57">
        <f ca="1">AVERAGE(OFFSET($DS$3,0,0,'Données projet'!$E$14+1,1))-AVERAGE(OFFSET($H$3,0,0,'Données projet'!$E$14+1,1))</f>
        <v>239.25212250019609</v>
      </c>
      <c r="DU113" s="57">
        <f t="shared" si="98"/>
        <v>213.58492101729695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418</v>
      </c>
      <c r="EH113" s="12">
        <f>VLOOKUP(A113,'Données projet'!$A$191:$I$211,9,0)</f>
        <v>6.4</v>
      </c>
      <c r="EI113" s="12">
        <f t="array" ref="EI113">INDEX(EH:EH,MIN(IF(ISNUMBER(EH113:EH309),ROW(EH113:EH309),"")))</f>
        <v>6.4</v>
      </c>
      <c r="EJ113" s="12">
        <f>IF('Données projet'!$A$192&gt;35,EJ112+EI113-ER112,IF(A113&lt;'Données projet'!$A$192,$EG$205^A113,IF(A113='Données projet'!$A$192,'Données projet'!$B$192,EJ112+EI113-ER112)))</f>
        <v>417.99999999999989</v>
      </c>
      <c r="EK113" s="17">
        <f>EJ113*VLOOKUP('Données projet'!$B$15,Paramètres!$A$1:$I$89,3,0)*VLOOKUP('Données projet'!$B$15,Paramètres!$A$1:$I$89,5,0)</f>
        <v>358.64399999999995</v>
      </c>
      <c r="EL113" s="13">
        <f t="shared" si="99"/>
        <v>83.339865454638698</v>
      </c>
      <c r="EM113" s="20">
        <f t="shared" si="73"/>
        <v>769.78856566682896</v>
      </c>
      <c r="EN113" s="57">
        <f t="shared" si="74"/>
        <v>1063.1218990001623</v>
      </c>
      <c r="EO113" s="57">
        <f ca="1">AVERAGE(OFFSET($EN$3,0,0,'Données projet'!$E$15+1,1))-AVERAGE(OFFSET($H$3,0,0,'Données projet'!$E$15+1,1))</f>
        <v>447.10969593632467</v>
      </c>
      <c r="EP113" s="57">
        <f t="shared" si="100"/>
        <v>256.77417912163997</v>
      </c>
      <c r="EQ113" s="15">
        <f>IF(ISNA(VLOOKUP(A113,'Données projet'!$A$191:$I$211,3,0)),0,VLOOKUP(A113,'Données projet'!$A$191:$I$211,3,0))</f>
        <v>18</v>
      </c>
      <c r="ER113" s="15">
        <f>IF(ISNA(VLOOKUP(A113,'Données projet'!$A$191:$I$211,4,0)),0,VLOOKUP(A113,'Données projet'!$A$191:$I$211,4,0))</f>
        <v>22</v>
      </c>
      <c r="ES113" s="16">
        <f>IF(ISNA(VLOOKUP(A113,'Données projet'!$A$191:$I$211,5,0)),0%,VLOOKUP(A113,'Données projet'!$A$191:$I$211,5,0)*VLOOKUP('Données projet'!$B$15,Paramètres!$A$1:$I$89,7,0))</f>
        <v>0.53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109.63677437929987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109.63677437929987</v>
      </c>
      <c r="EZ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7" t="e">
        <f t="shared" si="77"/>
        <v>#N/A</v>
      </c>
      <c r="FJ113" s="57" t="e">
        <f ca="1">AVERAGE(OFFSET($FI$3,0,0,'Données projet'!$E$16+1,1))-AVERAGE(OFFSET($H$3,0,0,'Données projet'!$E$16+1,1))</f>
        <v>#N/A</v>
      </c>
      <c r="FK113" s="57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7" t="e">
        <f t="shared" si="80"/>
        <v>#N/A</v>
      </c>
      <c r="GE113" s="57" t="e">
        <f ca="1">AVERAGE(OFFSET($GD$3,0,0,'Données projet'!$E$17+1,1))-AVERAGE(OFFSET($H$3,0,0,'Données projet'!$E$17+1,1))</f>
        <v>#N/A</v>
      </c>
      <c r="GF113" s="57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7" t="e">
        <f t="shared" si="83"/>
        <v>#N/A</v>
      </c>
      <c r="GZ113" s="57" t="e">
        <f ca="1">AVERAGE(OFFSET($GY$3,0,0,'Données projet'!$E$18+1,1))-AVERAGE(OFFSET($H$3,0,0,'Données projet'!$E$18+1,1))</f>
        <v>#N/A</v>
      </c>
      <c r="HA113" s="57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0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4">
        <f t="shared" si="56"/>
        <v>256.66666666666669</v>
      </c>
      <c r="I114" s="6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636.99999999999977</v>
      </c>
      <c r="O114" s="13">
        <f>N114*VLOOKUP('Données projet'!$B$9,Paramètres!$A$1:$I$89,3,0)*VLOOKUP('Données projet'!$B$9,Paramètres!$A$1:$I$89,5,0)</f>
        <v>356.08299999999991</v>
      </c>
      <c r="P114" s="13">
        <f t="shared" si="87"/>
        <v>82.813805255716545</v>
      </c>
      <c r="Q114" s="20">
        <f t="shared" si="107"/>
        <v>764.41193582037283</v>
      </c>
      <c r="R114" s="57">
        <f t="shared" si="55"/>
        <v>1057.7452691537062</v>
      </c>
      <c r="S114" s="57">
        <f ca="1">AVERAGE(OFFSET($R$3,0,0,'Données projet'!$E$9+1,1))-AVERAGE(OFFSET($H$3,0,0,'Données projet'!$E$9+1,1))</f>
        <v>443.34220761968419</v>
      </c>
      <c r="T114" s="57">
        <f t="shared" si="88"/>
        <v>546.58234447298014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35.594832118779962</v>
      </c>
      <c r="AA114" s="21">
        <f>EXP(-LN(2)/25)*AA113+(1-EXP(-LN(2)/25))/(LN(2)/25)*Calculateur!V114*Calculateur!X114*VLOOKUP('Données projet'!$B$9,Paramètres!$A$1:$I$89,3,0)*0.475*44/12</f>
        <v>2.3219136761265435</v>
      </c>
      <c r="AB114" s="21">
        <f>EXP(-LN(2)/2)*AB113+(1-EXP(-LN(2)/2))/(LN(2)/2)*V114*Y114*VLOOKUP('Données projet'!$B$9,Paramètres!$A$1:$I$89,3,0)*0.475*44/12</f>
        <v>3.8855391873237196E-12</v>
      </c>
      <c r="AC114" s="22">
        <f t="shared" si="57"/>
        <v>37.916745794910391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911.99999999999898</v>
      </c>
      <c r="AJ114" s="13">
        <f>AI114*VLOOKUP('Données projet'!$B$10,Paramètres!$A$1:$I$89,3,0)*VLOOKUP('Données projet'!$B$10,Paramètres!$A$1:$I$89,5,0)</f>
        <v>426.81599999999946</v>
      </c>
      <c r="AK114" s="13">
        <f t="shared" si="89"/>
        <v>97.192496986872399</v>
      </c>
      <c r="AL114" s="20">
        <f t="shared" si="58"/>
        <v>912.64813225213504</v>
      </c>
      <c r="AM114" s="57">
        <f t="shared" si="59"/>
        <v>1205.9814655854684</v>
      </c>
      <c r="AN114" s="57">
        <f ca="1">AVERAGE(OFFSET($AM$3,0,0,'Données projet'!$E$10+1,1))-AVERAGE(OFFSET($H$3,0,0,'Données projet'!$E$10+1,1))</f>
        <v>524.3999528951972</v>
      </c>
      <c r="AO114" s="57">
        <f t="shared" si="90"/>
        <v>459.3547783500515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80.439072907723457</v>
      </c>
      <c r="AV114" s="21">
        <f>EXP(-LN(2)/25)*AV113+(1-EXP(-LN(2)/25))/(LN(2)/25)*Calculateur!AQ114*Calculateur!AS114*VLOOKUP('Données projet'!$B$10,Paramètres!$A$1:$I$89,3,0)*0.475*44/12</f>
        <v>5.6563346127673197</v>
      </c>
      <c r="AW114" s="21">
        <f>EXP(-LN(2)/2)*AW113+(1-EXP(-LN(2)/2))/(LN(2)/2)*AQ114*AT114*VLOOKUP('Données projet'!$B$10,Paramètres!$A$1:$I$89,3,0)*0.475*44/12</f>
        <v>7.6674170453655837E-13</v>
      </c>
      <c r="AX114" s="21">
        <f t="shared" si="60"/>
        <v>86.095407520491548</v>
      </c>
      <c r="AY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852.00000000000011</v>
      </c>
      <c r="BE114" s="13">
        <f>BD114*VLOOKUP('Données projet'!$B$11,Paramètres!$A$1:$I$89,3,0)*VLOOKUP('Données projet'!$B$11,Paramètres!$A$1:$I$89,5,0)</f>
        <v>409.81200000000013</v>
      </c>
      <c r="BF114" s="13">
        <f t="shared" si="91"/>
        <v>93.76308331402879</v>
      </c>
      <c r="BG114" s="20">
        <f t="shared" si="61"/>
        <v>877.05993677193362</v>
      </c>
      <c r="BH114" s="57">
        <f t="shared" si="62"/>
        <v>1170.393270105267</v>
      </c>
      <c r="BI114" s="57">
        <f ca="1">AVERAGE(OFFSET($BH$3,0,0,'Données projet'!$E$11+1,1))-AVERAGE(OFFSET($H$3,0,0,'Données projet'!$E$11+1,1))</f>
        <v>495.6473104257044</v>
      </c>
      <c r="BJ114" s="57">
        <f t="shared" si="92"/>
        <v>430.92527296485201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83.797796072206552</v>
      </c>
      <c r="BQ114" s="21">
        <f>EXP(-LN(2)/25)*BQ113+(1-EXP(-LN(2)/25))/(LN(2)/25)*Calculateur!BL114*Calculateur!BN114*VLOOKUP('Données projet'!$B$11,Paramètres!$A$1:$I$89,3,0)*0.475*44/12</f>
        <v>5.3290004337877255</v>
      </c>
      <c r="BR114" s="21">
        <f>EXP(-LN(2)/2)*BR113+(1-EXP(-LN(2)/2))/(LN(2)/2)*BL114*BO114*VLOOKUP('Données projet'!$B$11,Paramètres!$A$1:$I$89,3,0)*0.475*44/12</f>
        <v>4.7063505089416071E-13</v>
      </c>
      <c r="BS114" s="22">
        <f t="shared" si="63"/>
        <v>89.126796505994747</v>
      </c>
      <c r="BT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7" t="e">
        <f t="shared" si="65"/>
        <v>#NUM!</v>
      </c>
      <c r="CD114" s="57">
        <f ca="1">AVERAGE(OFFSET($CC$3,0,0,'Données projet'!$E$12+1,1))-AVERAGE(OFFSET($H$3,0,0,'Données projet'!$E$12+1,1))</f>
        <v>187.80389738728508</v>
      </c>
      <c r="CE114" s="57">
        <f t="shared" si="94"/>
        <v>439.28159165815265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24.833173368742653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7.9367423310779183E-13</v>
      </c>
      <c r="CN114" s="22">
        <f t="shared" si="66"/>
        <v>24.833173368743445</v>
      </c>
      <c r="CO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3.8</v>
      </c>
      <c r="CT114" s="12">
        <f>IF('Données projet'!$A$140&gt;35,CT113+CS114-DB113,IF(A114&lt;'Données projet'!$A$140,$CQ$205^A114,IF(A114='Données projet'!$A$140,'Données projet'!$B$140,CT113+CS114-DB113)))</f>
        <v>269.79999999999995</v>
      </c>
      <c r="CU114" s="17">
        <f>CT114*VLOOKUP('Données projet'!$B$13,Paramètres!$A$1:$I$89,3,0)*VLOOKUP('Données projet'!$B$13,Paramètres!$A$1:$I$89,5,0)</f>
        <v>244.11503999999994</v>
      </c>
      <c r="CV114" s="13">
        <f t="shared" si="95"/>
        <v>59.324023461759012</v>
      </c>
      <c r="CW114" s="20">
        <f t="shared" si="67"/>
        <v>528.48970219589683</v>
      </c>
      <c r="CX114" s="57">
        <f t="shared" si="68"/>
        <v>821.82303552923008</v>
      </c>
      <c r="CY114" s="57">
        <f ca="1">AVERAGE(OFFSET($CX$3,0,0,'Données projet'!$E$13+1,1))-AVERAGE(OFFSET($H$3,0,0,'Données projet'!$E$13+1,1))</f>
        <v>364.3481978218424</v>
      </c>
      <c r="CZ114" s="57">
        <f t="shared" si="96"/>
        <v>231.36959598460686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73.437722919288404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73.437722919288404</v>
      </c>
      <c r="DJ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255.00000000000006</v>
      </c>
      <c r="DP114" s="17">
        <f>DO114*VLOOKUP('Données projet'!$B$14,Paramètres!$A$1:$I$89,3,0)*VLOOKUP('Données projet'!$B$14,Paramètres!$A$1:$I$89,5,0)</f>
        <v>186.96600000000004</v>
      </c>
      <c r="DQ114" s="13">
        <f t="shared" si="97"/>
        <v>46.868551400324648</v>
      </c>
      <c r="DR114" s="20">
        <f t="shared" si="70"/>
        <v>407.26184368889881</v>
      </c>
      <c r="DS114" s="57">
        <f t="shared" si="71"/>
        <v>700.59517702223206</v>
      </c>
      <c r="DT114" s="57">
        <f ca="1">AVERAGE(OFFSET($DS$3,0,0,'Données projet'!$E$14+1,1))-AVERAGE(OFFSET($H$3,0,0,'Données projet'!$E$14+1,1))</f>
        <v>239.25212250019609</v>
      </c>
      <c r="DU114" s="57">
        <f t="shared" si="98"/>
        <v>213.58492101729695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5.8</v>
      </c>
      <c r="EJ114" s="12">
        <f>IF('Données projet'!$A$192&gt;35,EJ113+EI114-ER113,IF(A114&lt;'Données projet'!$A$192,$EG$205^A114,IF(A114='Données projet'!$A$192,'Données projet'!$B$192,EJ113+EI114-ER113)))</f>
        <v>401.7999999999999</v>
      </c>
      <c r="EK114" s="17">
        <f>EJ114*VLOOKUP('Données projet'!$B$15,Paramètres!$A$1:$I$89,3,0)*VLOOKUP('Données projet'!$B$15,Paramètres!$A$1:$I$89,5,0)</f>
        <v>344.74439999999993</v>
      </c>
      <c r="EL114" s="13">
        <f t="shared" si="99"/>
        <v>80.47937753557926</v>
      </c>
      <c r="EM114" s="20">
        <f t="shared" si="73"/>
        <v>740.59807920780031</v>
      </c>
      <c r="EN114" s="57">
        <f t="shared" si="74"/>
        <v>1033.9314125411336</v>
      </c>
      <c r="EO114" s="57">
        <f ca="1">AVERAGE(OFFSET($EN$3,0,0,'Données projet'!$E$15+1,1))-AVERAGE(OFFSET($H$3,0,0,'Données projet'!$E$15+1,1))</f>
        <v>447.10969593632467</v>
      </c>
      <c r="EP114" s="57">
        <f t="shared" si="100"/>
        <v>256.77417912163997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107.48686410555112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107.48686410555112</v>
      </c>
      <c r="EZ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7" t="e">
        <f t="shared" si="77"/>
        <v>#N/A</v>
      </c>
      <c r="FJ114" s="57" t="e">
        <f ca="1">AVERAGE(OFFSET($FI$3,0,0,'Données projet'!$E$16+1,1))-AVERAGE(OFFSET($H$3,0,0,'Données projet'!$E$16+1,1))</f>
        <v>#N/A</v>
      </c>
      <c r="FK114" s="57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7" t="e">
        <f t="shared" si="80"/>
        <v>#N/A</v>
      </c>
      <c r="GE114" s="57" t="e">
        <f ca="1">AVERAGE(OFFSET($GD$3,0,0,'Données projet'!$E$17+1,1))-AVERAGE(OFFSET($H$3,0,0,'Données projet'!$E$17+1,1))</f>
        <v>#N/A</v>
      </c>
      <c r="GF114" s="57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7" t="e">
        <f t="shared" si="83"/>
        <v>#N/A</v>
      </c>
      <c r="GZ114" s="57" t="e">
        <f ca="1">AVERAGE(OFFSET($GY$3,0,0,'Données projet'!$E$18+1,1))-AVERAGE(OFFSET($H$3,0,0,'Données projet'!$E$18+1,1))</f>
        <v>#N/A</v>
      </c>
      <c r="HA114" s="57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0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4">
        <f t="shared" si="56"/>
        <v>256.66666666666669</v>
      </c>
      <c r="I115" s="6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636.99999999999977</v>
      </c>
      <c r="O115" s="13">
        <f>N115*VLOOKUP('Données projet'!$B$9,Paramètres!$A$1:$I$89,3,0)*VLOOKUP('Données projet'!$B$9,Paramètres!$A$1:$I$89,5,0)</f>
        <v>356.08299999999991</v>
      </c>
      <c r="P115" s="13">
        <f t="shared" si="87"/>
        <v>82.813805255716545</v>
      </c>
      <c r="Q115" s="20">
        <f t="shared" si="107"/>
        <v>764.41193582037283</v>
      </c>
      <c r="R115" s="57">
        <f t="shared" si="55"/>
        <v>1057.7452691537062</v>
      </c>
      <c r="S115" s="57">
        <f ca="1">AVERAGE(OFFSET($R$3,0,0,'Données projet'!$E$9+1,1))-AVERAGE(OFFSET($H$3,0,0,'Données projet'!$E$9+1,1))</f>
        <v>443.34220761968419</v>
      </c>
      <c r="T115" s="57">
        <f t="shared" si="88"/>
        <v>546.58234447298014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34.896839171634525</v>
      </c>
      <c r="AA115" s="21">
        <f>EXP(-LN(2)/25)*AA114+(1-EXP(-LN(2)/25))/(LN(2)/25)*Calculateur!V115*Calculateur!X115*VLOOKUP('Données projet'!$B$9,Paramètres!$A$1:$I$89,3,0)*0.475*44/12</f>
        <v>2.2584208245487298</v>
      </c>
      <c r="AB115" s="21">
        <f>EXP(-LN(2)/2)*AB114+(1-EXP(-LN(2)/2))/(LN(2)/2)*V115*Y115*VLOOKUP('Données projet'!$B$9,Paramètres!$A$1:$I$89,3,0)*0.475*44/12</f>
        <v>2.7474911079226691E-12</v>
      </c>
      <c r="AC115" s="22">
        <f t="shared" si="57"/>
        <v>37.155259996186004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911.99999999999898</v>
      </c>
      <c r="AJ115" s="13">
        <f>AI115*VLOOKUP('Données projet'!$B$10,Paramètres!$A$1:$I$89,3,0)*VLOOKUP('Données projet'!$B$10,Paramètres!$A$1:$I$89,5,0)</f>
        <v>426.81599999999946</v>
      </c>
      <c r="AK115" s="13">
        <f t="shared" si="89"/>
        <v>97.192496986872399</v>
      </c>
      <c r="AL115" s="20">
        <f t="shared" si="58"/>
        <v>912.64813225213504</v>
      </c>
      <c r="AM115" s="57">
        <f t="shared" si="59"/>
        <v>1205.9814655854684</v>
      </c>
      <c r="AN115" s="57">
        <f ca="1">AVERAGE(OFFSET($AM$3,0,0,'Données projet'!$E$10+1,1))-AVERAGE(OFFSET($H$3,0,0,'Données projet'!$E$10+1,1))</f>
        <v>524.3999528951972</v>
      </c>
      <c r="AO115" s="57">
        <f t="shared" si="90"/>
        <v>459.3547783500515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78.86171175099291</v>
      </c>
      <c r="AV115" s="21">
        <f>EXP(-LN(2)/25)*AV114+(1-EXP(-LN(2)/25))/(LN(2)/25)*Calculateur!AQ115*Calculateur!AS115*VLOOKUP('Données projet'!$B$10,Paramètres!$A$1:$I$89,3,0)*0.475*44/12</f>
        <v>5.5016618453274875</v>
      </c>
      <c r="AW115" s="21">
        <f>EXP(-LN(2)/2)*AW114+(1-EXP(-LN(2)/2))/(LN(2)/2)*AQ115*AT115*VLOOKUP('Données projet'!$B$10,Paramètres!$A$1:$I$89,3,0)*0.475*44/12</f>
        <v>5.4216825869633264E-13</v>
      </c>
      <c r="AX115" s="21">
        <f t="shared" si="60"/>
        <v>84.36337359632094</v>
      </c>
      <c r="AY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852.00000000000011</v>
      </c>
      <c r="BE115" s="13">
        <f>BD115*VLOOKUP('Données projet'!$B$11,Paramètres!$A$1:$I$89,3,0)*VLOOKUP('Données projet'!$B$11,Paramètres!$A$1:$I$89,5,0)</f>
        <v>409.81200000000013</v>
      </c>
      <c r="BF115" s="13">
        <f t="shared" si="91"/>
        <v>93.76308331402879</v>
      </c>
      <c r="BG115" s="20">
        <f t="shared" si="61"/>
        <v>877.05993677193362</v>
      </c>
      <c r="BH115" s="57">
        <f t="shared" si="62"/>
        <v>1170.393270105267</v>
      </c>
      <c r="BI115" s="57">
        <f ca="1">AVERAGE(OFFSET($BH$3,0,0,'Données projet'!$E$11+1,1))-AVERAGE(OFFSET($H$3,0,0,'Données projet'!$E$11+1,1))</f>
        <v>495.6473104257044</v>
      </c>
      <c r="BJ115" s="57">
        <f t="shared" si="92"/>
        <v>430.92527296485201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82.154572402839335</v>
      </c>
      <c r="BQ115" s="21">
        <f>EXP(-LN(2)/25)*BQ114+(1-EXP(-LN(2)/25))/(LN(2)/25)*Calculateur!BL115*Calculateur!BN115*VLOOKUP('Données projet'!$B$11,Paramètres!$A$1:$I$89,3,0)*0.475*44/12</f>
        <v>5.1832786366858468</v>
      </c>
      <c r="BR115" s="21">
        <f>EXP(-LN(2)/2)*BR114+(1-EXP(-LN(2)/2))/(LN(2)/2)*BL115*BO115*VLOOKUP('Données projet'!$B$11,Paramètres!$A$1:$I$89,3,0)*0.475*44/12</f>
        <v>3.3278923595133695E-13</v>
      </c>
      <c r="BS115" s="22">
        <f t="shared" si="63"/>
        <v>87.337851039525503</v>
      </c>
      <c r="BT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7" t="e">
        <f t="shared" si="65"/>
        <v>#NUM!</v>
      </c>
      <c r="CD115" s="57">
        <f ca="1">AVERAGE(OFFSET($CC$3,0,0,'Données projet'!$E$12+1,1))-AVERAGE(OFFSET($H$3,0,0,'Données projet'!$E$12+1,1))</f>
        <v>187.80389738728508</v>
      </c>
      <c r="CE115" s="57">
        <f t="shared" si="94"/>
        <v>439.28159165815265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24.34620998572175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5.6121243228355226E-13</v>
      </c>
      <c r="CN115" s="22">
        <f t="shared" si="66"/>
        <v>24.346209985722311</v>
      </c>
      <c r="CO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3.8</v>
      </c>
      <c r="CT115" s="12">
        <f>IF('Données projet'!$A$140&gt;35,CT114+CS115-DB114,IF(A115&lt;'Données projet'!$A$140,$CQ$205^A115,IF(A115='Données projet'!$A$140,'Données projet'!$B$140,CT114+CS115-DB114)))</f>
        <v>273.59999999999997</v>
      </c>
      <c r="CU115" s="17">
        <f>CT115*VLOOKUP('Données projet'!$B$13,Paramètres!$A$1:$I$89,3,0)*VLOOKUP('Données projet'!$B$13,Paramètres!$A$1:$I$89,5,0)</f>
        <v>247.55327999999994</v>
      </c>
      <c r="CV115" s="13">
        <f t="shared" si="95"/>
        <v>60.061713068870255</v>
      </c>
      <c r="CW115" s="20">
        <f t="shared" si="67"/>
        <v>535.76277959494894</v>
      </c>
      <c r="CX115" s="57">
        <f t="shared" si="68"/>
        <v>829.09611292828231</v>
      </c>
      <c r="CY115" s="57">
        <f ca="1">AVERAGE(OFFSET($CX$3,0,0,'Données projet'!$E$13+1,1))-AVERAGE(OFFSET($H$3,0,0,'Données projet'!$E$13+1,1))</f>
        <v>364.3481978218424</v>
      </c>
      <c r="CZ115" s="57">
        <f t="shared" si="96"/>
        <v>231.36959598460686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71.997653965429237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71.997653965429237</v>
      </c>
      <c r="DJ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255.00000000000006</v>
      </c>
      <c r="DP115" s="17">
        <f>DO115*VLOOKUP('Données projet'!$B$14,Paramètres!$A$1:$I$89,3,0)*VLOOKUP('Données projet'!$B$14,Paramètres!$A$1:$I$89,5,0)</f>
        <v>186.96600000000004</v>
      </c>
      <c r="DQ115" s="13">
        <f t="shared" si="97"/>
        <v>46.868551400324648</v>
      </c>
      <c r="DR115" s="20">
        <f t="shared" si="70"/>
        <v>407.26184368889881</v>
      </c>
      <c r="DS115" s="57">
        <f t="shared" si="71"/>
        <v>700.59517702223206</v>
      </c>
      <c r="DT115" s="57">
        <f ca="1">AVERAGE(OFFSET($DS$3,0,0,'Données projet'!$E$14+1,1))-AVERAGE(OFFSET($H$3,0,0,'Données projet'!$E$14+1,1))</f>
        <v>239.25212250019609</v>
      </c>
      <c r="DU115" s="57">
        <f t="shared" si="98"/>
        <v>213.58492101729695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5.8</v>
      </c>
      <c r="EJ115" s="12">
        <f>IF('Données projet'!$A$192&gt;35,EJ114+EI115-ER114,IF(A115&lt;'Données projet'!$A$192,$EG$205^A115,IF(A115='Données projet'!$A$192,'Données projet'!$B$192,EJ114+EI115-ER114)))</f>
        <v>407.59999999999991</v>
      </c>
      <c r="EK115" s="17">
        <f>EJ115*VLOOKUP('Données projet'!$B$15,Paramètres!$A$1:$I$89,3,0)*VLOOKUP('Données projet'!$B$15,Paramètres!$A$1:$I$89,5,0)</f>
        <v>349.7208</v>
      </c>
      <c r="EL115" s="13">
        <f t="shared" si="99"/>
        <v>81.505018388531752</v>
      </c>
      <c r="EM115" s="20">
        <f t="shared" si="73"/>
        <v>751.05163369335958</v>
      </c>
      <c r="EN115" s="57">
        <f t="shared" si="74"/>
        <v>1044.3849670266929</v>
      </c>
      <c r="EO115" s="57">
        <f ca="1">AVERAGE(OFFSET($EN$3,0,0,'Données projet'!$E$15+1,1))-AVERAGE(OFFSET($H$3,0,0,'Données projet'!$E$15+1,1))</f>
        <v>447.10969593632467</v>
      </c>
      <c r="EP115" s="57">
        <f t="shared" si="100"/>
        <v>256.77417912163997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105.3791122609548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105.3791122609548</v>
      </c>
      <c r="EZ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7" t="e">
        <f t="shared" si="77"/>
        <v>#N/A</v>
      </c>
      <c r="FJ115" s="57" t="e">
        <f ca="1">AVERAGE(OFFSET($FI$3,0,0,'Données projet'!$E$16+1,1))-AVERAGE(OFFSET($H$3,0,0,'Données projet'!$E$16+1,1))</f>
        <v>#N/A</v>
      </c>
      <c r="FK115" s="57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7" t="e">
        <f t="shared" si="80"/>
        <v>#N/A</v>
      </c>
      <c r="GE115" s="57" t="e">
        <f ca="1">AVERAGE(OFFSET($GD$3,0,0,'Données projet'!$E$17+1,1))-AVERAGE(OFFSET($H$3,0,0,'Données projet'!$E$17+1,1))</f>
        <v>#N/A</v>
      </c>
      <c r="GF115" s="57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7" t="e">
        <f t="shared" si="83"/>
        <v>#N/A</v>
      </c>
      <c r="GZ115" s="57" t="e">
        <f ca="1">AVERAGE(OFFSET($GY$3,0,0,'Données projet'!$E$18+1,1))-AVERAGE(OFFSET($H$3,0,0,'Données projet'!$E$18+1,1))</f>
        <v>#N/A</v>
      </c>
      <c r="HA115" s="57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0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4">
        <f t="shared" si="56"/>
        <v>256.66666666666669</v>
      </c>
      <c r="I116" s="6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636.99999999999977</v>
      </c>
      <c r="O116" s="13">
        <f>N116*VLOOKUP('Données projet'!$B$9,Paramètres!$A$1:$I$89,3,0)*VLOOKUP('Données projet'!$B$9,Paramètres!$A$1:$I$89,5,0)</f>
        <v>356.08299999999991</v>
      </c>
      <c r="P116" s="13">
        <f t="shared" si="87"/>
        <v>82.813805255716545</v>
      </c>
      <c r="Q116" s="20">
        <f t="shared" si="107"/>
        <v>764.41193582037283</v>
      </c>
      <c r="R116" s="57">
        <f t="shared" si="55"/>
        <v>1057.7452691537062</v>
      </c>
      <c r="S116" s="57">
        <f ca="1">AVERAGE(OFFSET($R$3,0,0,'Données projet'!$E$9+1,1))-AVERAGE(OFFSET($H$3,0,0,'Données projet'!$E$9+1,1))</f>
        <v>443.34220761968419</v>
      </c>
      <c r="T116" s="57">
        <f t="shared" si="88"/>
        <v>546.58234447298014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34.212533440448951</v>
      </c>
      <c r="AA116" s="21">
        <f>EXP(-LN(2)/25)*AA115+(1-EXP(-LN(2)/25))/(LN(2)/25)*Calculateur!V116*Calculateur!X116*VLOOKUP('Données projet'!$B$9,Paramètres!$A$1:$I$89,3,0)*0.475*44/12</f>
        <v>2.1966641883362552</v>
      </c>
      <c r="AB116" s="21">
        <f>EXP(-LN(2)/2)*AB115+(1-EXP(-LN(2)/2))/(LN(2)/2)*V116*Y116*VLOOKUP('Données projet'!$B$9,Paramètres!$A$1:$I$89,3,0)*0.475*44/12</f>
        <v>1.9427695936618598E-12</v>
      </c>
      <c r="AC116" s="22">
        <f t="shared" si="57"/>
        <v>36.409197628787147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911.99999999999898</v>
      </c>
      <c r="AJ116" s="13">
        <f>AI116*VLOOKUP('Données projet'!$B$10,Paramètres!$A$1:$I$89,3,0)*VLOOKUP('Données projet'!$B$10,Paramètres!$A$1:$I$89,5,0)</f>
        <v>426.81599999999946</v>
      </c>
      <c r="AK116" s="13">
        <f t="shared" si="89"/>
        <v>97.192496986872399</v>
      </c>
      <c r="AL116" s="20">
        <f t="shared" si="58"/>
        <v>912.64813225213504</v>
      </c>
      <c r="AM116" s="57">
        <f t="shared" si="59"/>
        <v>1205.9814655854684</v>
      </c>
      <c r="AN116" s="57">
        <f ca="1">AVERAGE(OFFSET($AM$3,0,0,'Données projet'!$E$10+1,1))-AVERAGE(OFFSET($H$3,0,0,'Données projet'!$E$10+1,1))</f>
        <v>524.3999528951972</v>
      </c>
      <c r="AO116" s="57">
        <f t="shared" si="90"/>
        <v>459.3547783500515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77.31528168445054</v>
      </c>
      <c r="AV116" s="21">
        <f>EXP(-LN(2)/25)*AV115+(1-EXP(-LN(2)/25))/(LN(2)/25)*Calculateur!AQ116*Calculateur!AS116*VLOOKUP('Données projet'!$B$10,Paramètres!$A$1:$I$89,3,0)*0.475*44/12</f>
        <v>5.3512186128471848</v>
      </c>
      <c r="AW116" s="21">
        <f>EXP(-LN(2)/2)*AW115+(1-EXP(-LN(2)/2))/(LN(2)/2)*AQ116*AT116*VLOOKUP('Données projet'!$B$10,Paramètres!$A$1:$I$89,3,0)*0.475*44/12</f>
        <v>3.8337085226827918E-13</v>
      </c>
      <c r="AX116" s="21">
        <f t="shared" si="60"/>
        <v>82.666500297298114</v>
      </c>
      <c r="AY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852.00000000000011</v>
      </c>
      <c r="BE116" s="13">
        <f>BD116*VLOOKUP('Données projet'!$B$11,Paramètres!$A$1:$I$89,3,0)*VLOOKUP('Données projet'!$B$11,Paramètres!$A$1:$I$89,5,0)</f>
        <v>409.81200000000013</v>
      </c>
      <c r="BF116" s="13">
        <f t="shared" si="91"/>
        <v>93.76308331402879</v>
      </c>
      <c r="BG116" s="20">
        <f t="shared" si="61"/>
        <v>877.05993677193362</v>
      </c>
      <c r="BH116" s="57">
        <f t="shared" si="62"/>
        <v>1170.393270105267</v>
      </c>
      <c r="BI116" s="57">
        <f ca="1">AVERAGE(OFFSET($BH$3,0,0,'Données projet'!$E$11+1,1))-AVERAGE(OFFSET($H$3,0,0,'Données projet'!$E$11+1,1))</f>
        <v>495.6473104257044</v>
      </c>
      <c r="BJ116" s="57">
        <f t="shared" si="92"/>
        <v>430.92527296485201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80.543571347360938</v>
      </c>
      <c r="BQ116" s="21">
        <f>EXP(-LN(2)/25)*BQ115+(1-EXP(-LN(2)/25))/(LN(2)/25)*Calculateur!BL116*Calculateur!BN116*VLOOKUP('Données projet'!$B$11,Paramètres!$A$1:$I$89,3,0)*0.475*44/12</f>
        <v>5.0415416097888954</v>
      </c>
      <c r="BR116" s="21">
        <f>EXP(-LN(2)/2)*BR115+(1-EXP(-LN(2)/2))/(LN(2)/2)*BL116*BO116*VLOOKUP('Données projet'!$B$11,Paramètres!$A$1:$I$89,3,0)*0.475*44/12</f>
        <v>2.3531752544708035E-13</v>
      </c>
      <c r="BS116" s="22">
        <f t="shared" si="63"/>
        <v>85.585112957150073</v>
      </c>
      <c r="BT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7" t="e">
        <f t="shared" si="65"/>
        <v>#NUM!</v>
      </c>
      <c r="CD116" s="57">
        <f ca="1">AVERAGE(OFFSET($CC$3,0,0,'Données projet'!$E$12+1,1))-AVERAGE(OFFSET($H$3,0,0,'Données projet'!$E$12+1,1))</f>
        <v>187.80389738728508</v>
      </c>
      <c r="CE116" s="57">
        <f t="shared" si="94"/>
        <v>439.28159165815265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23.868795657623551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3.9683711655389591E-13</v>
      </c>
      <c r="CN116" s="22">
        <f t="shared" si="66"/>
        <v>23.868795657623949</v>
      </c>
      <c r="CO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3.8</v>
      </c>
      <c r="CT116" s="12">
        <f>IF('Données projet'!$A$140&gt;35,CT115+CS116-DB115,IF(A116&lt;'Données projet'!$A$140,$CQ$205^A116,IF(A116='Données projet'!$A$140,'Données projet'!$B$140,CT115+CS116-DB115)))</f>
        <v>277.39999999999998</v>
      </c>
      <c r="CU116" s="17">
        <f>CT116*VLOOKUP('Données projet'!$B$13,Paramètres!$A$1:$I$89,3,0)*VLOOKUP('Données projet'!$B$13,Paramètres!$A$1:$I$89,5,0)</f>
        <v>250.99151999999995</v>
      </c>
      <c r="CV116" s="13">
        <f t="shared" si="95"/>
        <v>60.798211000769406</v>
      </c>
      <c r="CW116" s="20">
        <f t="shared" si="67"/>
        <v>543.03378149300659</v>
      </c>
      <c r="CX116" s="57">
        <f t="shared" si="68"/>
        <v>836.36711482633996</v>
      </c>
      <c r="CY116" s="57">
        <f ca="1">AVERAGE(OFFSET($CX$3,0,0,'Données projet'!$E$13+1,1))-AVERAGE(OFFSET($H$3,0,0,'Données projet'!$E$13+1,1))</f>
        <v>364.3481978218424</v>
      </c>
      <c r="CZ116" s="57">
        <f t="shared" si="96"/>
        <v>231.36959598460686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70.585823885399918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70.585823885399918</v>
      </c>
      <c r="DJ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255.00000000000006</v>
      </c>
      <c r="DP116" s="17">
        <f>DO116*VLOOKUP('Données projet'!$B$14,Paramètres!$A$1:$I$89,3,0)*VLOOKUP('Données projet'!$B$14,Paramètres!$A$1:$I$89,5,0)</f>
        <v>186.96600000000004</v>
      </c>
      <c r="DQ116" s="13">
        <f t="shared" si="97"/>
        <v>46.868551400324648</v>
      </c>
      <c r="DR116" s="20">
        <f t="shared" si="70"/>
        <v>407.26184368889881</v>
      </c>
      <c r="DS116" s="57">
        <f t="shared" si="71"/>
        <v>700.59517702223206</v>
      </c>
      <c r="DT116" s="57">
        <f ca="1">AVERAGE(OFFSET($DS$3,0,0,'Données projet'!$E$14+1,1))-AVERAGE(OFFSET($H$3,0,0,'Données projet'!$E$14+1,1))</f>
        <v>239.25212250019609</v>
      </c>
      <c r="DU116" s="57">
        <f t="shared" si="98"/>
        <v>213.58492101729695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5.8</v>
      </c>
      <c r="EJ116" s="12">
        <f>IF('Données projet'!$A$192&gt;35,EJ115+EI116-ER115,IF(A116&lt;'Données projet'!$A$192,$EG$205^A116,IF(A116='Données projet'!$A$192,'Données projet'!$B$192,EJ115+EI116-ER115)))</f>
        <v>413.39999999999992</v>
      </c>
      <c r="EK116" s="17">
        <f>EJ116*VLOOKUP('Données projet'!$B$15,Paramètres!$A$1:$I$89,3,0)*VLOOKUP('Données projet'!$B$15,Paramètres!$A$1:$I$89,5,0)</f>
        <v>354.69719999999995</v>
      </c>
      <c r="EL116" s="13">
        <f t="shared" si="99"/>
        <v>82.528961787580869</v>
      </c>
      <c r="EM116" s="20">
        <f t="shared" si="73"/>
        <v>761.5022317800366</v>
      </c>
      <c r="EN116" s="57">
        <f t="shared" si="74"/>
        <v>1054.83556511337</v>
      </c>
      <c r="EO116" s="57">
        <f ca="1">AVERAGE(OFFSET($EN$3,0,0,'Données projet'!$E$15+1,1))-AVERAGE(OFFSET($H$3,0,0,'Données projet'!$E$15+1,1))</f>
        <v>447.10969593632467</v>
      </c>
      <c r="EP116" s="57">
        <f t="shared" si="100"/>
        <v>256.77417912163997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103.31269214442933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103.31269214442933</v>
      </c>
      <c r="EZ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7" t="e">
        <f t="shared" si="77"/>
        <v>#N/A</v>
      </c>
      <c r="FJ116" s="57" t="e">
        <f ca="1">AVERAGE(OFFSET($FI$3,0,0,'Données projet'!$E$16+1,1))-AVERAGE(OFFSET($H$3,0,0,'Données projet'!$E$16+1,1))</f>
        <v>#N/A</v>
      </c>
      <c r="FK116" s="57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7" t="e">
        <f t="shared" si="80"/>
        <v>#N/A</v>
      </c>
      <c r="GE116" s="57" t="e">
        <f ca="1">AVERAGE(OFFSET($GD$3,0,0,'Données projet'!$E$17+1,1))-AVERAGE(OFFSET($H$3,0,0,'Données projet'!$E$17+1,1))</f>
        <v>#N/A</v>
      </c>
      <c r="GF116" s="57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7" t="e">
        <f t="shared" si="83"/>
        <v>#N/A</v>
      </c>
      <c r="GZ116" s="57" t="e">
        <f ca="1">AVERAGE(OFFSET($GY$3,0,0,'Données projet'!$E$18+1,1))-AVERAGE(OFFSET($H$3,0,0,'Données projet'!$E$18+1,1))</f>
        <v>#N/A</v>
      </c>
      <c r="HA116" s="57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0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4">
        <f t="shared" si="56"/>
        <v>256.66666666666669</v>
      </c>
      <c r="I117" s="6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636.99999999999977</v>
      </c>
      <c r="O117" s="13">
        <f>N117*VLOOKUP('Données projet'!$B$9,Paramètres!$A$1:$I$89,3,0)*VLOOKUP('Données projet'!$B$9,Paramètres!$A$1:$I$89,5,0)</f>
        <v>356.08299999999991</v>
      </c>
      <c r="P117" s="13">
        <f t="shared" si="87"/>
        <v>82.813805255716545</v>
      </c>
      <c r="Q117" s="20">
        <f t="shared" si="107"/>
        <v>764.41193582037283</v>
      </c>
      <c r="R117" s="57">
        <f t="shared" si="55"/>
        <v>1057.7452691537062</v>
      </c>
      <c r="S117" s="57">
        <f ca="1">AVERAGE(OFFSET($R$3,0,0,'Données projet'!$E$9+1,1))-AVERAGE(OFFSET($H$3,0,0,'Données projet'!$E$9+1,1))</f>
        <v>443.34220761968419</v>
      </c>
      <c r="T117" s="57">
        <f t="shared" si="88"/>
        <v>546.58234447298014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33.541646527266643</v>
      </c>
      <c r="AA117" s="21">
        <f>EXP(-LN(2)/25)*AA116+(1-EXP(-LN(2)/25))/(LN(2)/25)*Calculateur!V117*Calculateur!X117*VLOOKUP('Données projet'!$B$9,Paramètres!$A$1:$I$89,3,0)*0.475*44/12</f>
        <v>2.1365962905886513</v>
      </c>
      <c r="AB117" s="21">
        <f>EXP(-LN(2)/2)*AB116+(1-EXP(-LN(2)/2))/(LN(2)/2)*V117*Y117*VLOOKUP('Données projet'!$B$9,Paramètres!$A$1:$I$89,3,0)*0.475*44/12</f>
        <v>1.3737455539613346E-12</v>
      </c>
      <c r="AC117" s="22">
        <f t="shared" si="57"/>
        <v>35.678242817856663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911.99999999999898</v>
      </c>
      <c r="AJ117" s="13">
        <f>AI117*VLOOKUP('Données projet'!$B$10,Paramètres!$A$1:$I$89,3,0)*VLOOKUP('Données projet'!$B$10,Paramètres!$A$1:$I$89,5,0)</f>
        <v>426.81599999999946</v>
      </c>
      <c r="AK117" s="13">
        <f t="shared" si="89"/>
        <v>97.192496986872399</v>
      </c>
      <c r="AL117" s="20">
        <f t="shared" si="58"/>
        <v>912.64813225213504</v>
      </c>
      <c r="AM117" s="57">
        <f t="shared" si="59"/>
        <v>1205.9814655854684</v>
      </c>
      <c r="AN117" s="57">
        <f ca="1">AVERAGE(OFFSET($AM$3,0,0,'Données projet'!$E$10+1,1))-AVERAGE(OFFSET($H$3,0,0,'Données projet'!$E$10+1,1))</f>
        <v>524.3999528951972</v>
      </c>
      <c r="AO117" s="57">
        <f t="shared" si="90"/>
        <v>459.3547783500515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75.799176168283864</v>
      </c>
      <c r="AV117" s="21">
        <f>EXP(-LN(2)/25)*AV116+(1-EXP(-LN(2)/25))/(LN(2)/25)*Calculateur!AQ117*Calculateur!AS117*VLOOKUP('Données projet'!$B$10,Paramètres!$A$1:$I$89,3,0)*0.475*44/12</f>
        <v>5.204889258470522</v>
      </c>
      <c r="AW117" s="21">
        <f>EXP(-LN(2)/2)*AW116+(1-EXP(-LN(2)/2))/(LN(2)/2)*AQ117*AT117*VLOOKUP('Données projet'!$B$10,Paramètres!$A$1:$I$89,3,0)*0.475*44/12</f>
        <v>2.7108412934816632E-13</v>
      </c>
      <c r="AX117" s="21">
        <f t="shared" si="60"/>
        <v>81.00406542675465</v>
      </c>
      <c r="AY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852.00000000000011</v>
      </c>
      <c r="BE117" s="13">
        <f>BD117*VLOOKUP('Données projet'!$B$11,Paramètres!$A$1:$I$89,3,0)*VLOOKUP('Données projet'!$B$11,Paramètres!$A$1:$I$89,5,0)</f>
        <v>409.81200000000013</v>
      </c>
      <c r="BF117" s="13">
        <f t="shared" si="91"/>
        <v>93.76308331402879</v>
      </c>
      <c r="BG117" s="20">
        <f t="shared" si="61"/>
        <v>877.05993677193362</v>
      </c>
      <c r="BH117" s="57">
        <f t="shared" si="62"/>
        <v>1170.393270105267</v>
      </c>
      <c r="BI117" s="57">
        <f ca="1">AVERAGE(OFFSET($BH$3,0,0,'Données projet'!$E$11+1,1))-AVERAGE(OFFSET($H$3,0,0,'Données projet'!$E$11+1,1))</f>
        <v>495.6473104257044</v>
      </c>
      <c r="BJ117" s="57">
        <f t="shared" si="92"/>
        <v>430.92527296485201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78.964161039966854</v>
      </c>
      <c r="BQ117" s="21">
        <f>EXP(-LN(2)/25)*BQ116+(1-EXP(-LN(2)/25))/(LN(2)/25)*Calculateur!BL117*Calculateur!BN117*VLOOKUP('Données projet'!$B$11,Paramètres!$A$1:$I$89,3,0)*0.475*44/12</f>
        <v>4.903680389346067</v>
      </c>
      <c r="BR117" s="21">
        <f>EXP(-LN(2)/2)*BR116+(1-EXP(-LN(2)/2))/(LN(2)/2)*BL117*BO117*VLOOKUP('Données projet'!$B$11,Paramètres!$A$1:$I$89,3,0)*0.475*44/12</f>
        <v>1.6639461797566848E-13</v>
      </c>
      <c r="BS117" s="22">
        <f t="shared" si="63"/>
        <v>83.867841429313088</v>
      </c>
      <c r="BT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7" t="e">
        <f t="shared" si="65"/>
        <v>#NUM!</v>
      </c>
      <c r="CD117" s="57">
        <f ca="1">AVERAGE(OFFSET($CC$3,0,0,'Données projet'!$E$12+1,1))-AVERAGE(OFFSET($H$3,0,0,'Données projet'!$E$12+1,1))</f>
        <v>187.80389738728508</v>
      </c>
      <c r="CE117" s="57">
        <f t="shared" si="94"/>
        <v>439.28159165815265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23.400743133305369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2.8060621614177613E-13</v>
      </c>
      <c r="CN117" s="22">
        <f t="shared" si="66"/>
        <v>23.400743133305649</v>
      </c>
      <c r="CO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3.8</v>
      </c>
      <c r="CT117" s="12">
        <f>IF('Données projet'!$A$140&gt;35,CT116+CS117-DB116,IF(A117&lt;'Données projet'!$A$140,$CQ$205^A117,IF(A117='Données projet'!$A$140,'Données projet'!$B$140,CT116+CS117-DB116)))</f>
        <v>281.2</v>
      </c>
      <c r="CU117" s="17">
        <f>CT117*VLOOKUP('Données projet'!$B$13,Paramètres!$A$1:$I$89,3,0)*VLOOKUP('Données projet'!$B$13,Paramètres!$A$1:$I$89,5,0)</f>
        <v>254.42975999999996</v>
      </c>
      <c r="CV117" s="13">
        <f t="shared" si="95"/>
        <v>61.533535468549189</v>
      </c>
      <c r="CW117" s="20">
        <f t="shared" si="67"/>
        <v>550.30273960772308</v>
      </c>
      <c r="CX117" s="57">
        <f t="shared" si="68"/>
        <v>843.63607294105645</v>
      </c>
      <c r="CY117" s="57">
        <f ca="1">AVERAGE(OFFSET($CX$3,0,0,'Données projet'!$E$13+1,1))-AVERAGE(OFFSET($H$3,0,0,'Données projet'!$E$13+1,1))</f>
        <v>364.3481978218424</v>
      </c>
      <c r="CZ117" s="57">
        <f t="shared" si="96"/>
        <v>231.36959598460686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69.201678932108649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69.201678932108649</v>
      </c>
      <c r="DJ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255.00000000000006</v>
      </c>
      <c r="DP117" s="17">
        <f>DO117*VLOOKUP('Données projet'!$B$14,Paramètres!$A$1:$I$89,3,0)*VLOOKUP('Données projet'!$B$14,Paramètres!$A$1:$I$89,5,0)</f>
        <v>186.96600000000004</v>
      </c>
      <c r="DQ117" s="13">
        <f t="shared" si="97"/>
        <v>46.868551400324648</v>
      </c>
      <c r="DR117" s="20">
        <f t="shared" si="70"/>
        <v>407.26184368889881</v>
      </c>
      <c r="DS117" s="57">
        <f t="shared" si="71"/>
        <v>700.59517702223206</v>
      </c>
      <c r="DT117" s="57">
        <f ca="1">AVERAGE(OFFSET($DS$3,0,0,'Données projet'!$E$14+1,1))-AVERAGE(OFFSET($H$3,0,0,'Données projet'!$E$14+1,1))</f>
        <v>239.25212250019609</v>
      </c>
      <c r="DU117" s="57">
        <f t="shared" si="98"/>
        <v>213.58492101729695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5.8</v>
      </c>
      <c r="EJ117" s="12">
        <f>IF('Données projet'!$A$192&gt;35,EJ116+EI117-ER116,IF(A117&lt;'Données projet'!$A$192,$EG$205^A117,IF(A117='Données projet'!$A$192,'Données projet'!$B$192,EJ116+EI117-ER116)))</f>
        <v>419.19999999999993</v>
      </c>
      <c r="EK117" s="17">
        <f>EJ117*VLOOKUP('Données projet'!$B$15,Paramètres!$A$1:$I$89,3,0)*VLOOKUP('Données projet'!$B$15,Paramètres!$A$1:$I$89,5,0)</f>
        <v>359.67359999999996</v>
      </c>
      <c r="EL117" s="13">
        <f t="shared" si="99"/>
        <v>83.55123430015017</v>
      </c>
      <c r="EM117" s="20">
        <f t="shared" si="73"/>
        <v>771.94991973942808</v>
      </c>
      <c r="EN117" s="57">
        <f t="shared" si="74"/>
        <v>1065.2832530727615</v>
      </c>
      <c r="EO117" s="57">
        <f ca="1">AVERAGE(OFFSET($EN$3,0,0,'Données projet'!$E$15+1,1))-AVERAGE(OFFSET($H$3,0,0,'Données projet'!$E$15+1,1))</f>
        <v>447.10969593632467</v>
      </c>
      <c r="EP117" s="57">
        <f t="shared" si="100"/>
        <v>256.77417912163997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101.28679326599712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101.28679326599712</v>
      </c>
      <c r="EZ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7" t="e">
        <f t="shared" si="77"/>
        <v>#N/A</v>
      </c>
      <c r="FJ117" s="57" t="e">
        <f ca="1">AVERAGE(OFFSET($FI$3,0,0,'Données projet'!$E$16+1,1))-AVERAGE(OFFSET($H$3,0,0,'Données projet'!$E$16+1,1))</f>
        <v>#N/A</v>
      </c>
      <c r="FK117" s="57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7" t="e">
        <f t="shared" si="80"/>
        <v>#N/A</v>
      </c>
      <c r="GE117" s="57" t="e">
        <f ca="1">AVERAGE(OFFSET($GD$3,0,0,'Données projet'!$E$17+1,1))-AVERAGE(OFFSET($H$3,0,0,'Données projet'!$E$17+1,1))</f>
        <v>#N/A</v>
      </c>
      <c r="GF117" s="57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7" t="e">
        <f t="shared" si="83"/>
        <v>#N/A</v>
      </c>
      <c r="GZ117" s="57" t="e">
        <f ca="1">AVERAGE(OFFSET($GY$3,0,0,'Données projet'!$E$18+1,1))-AVERAGE(OFFSET($H$3,0,0,'Données projet'!$E$18+1,1))</f>
        <v>#N/A</v>
      </c>
      <c r="HA117" s="57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0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4">
        <f t="shared" si="56"/>
        <v>256.66666666666669</v>
      </c>
      <c r="I118" s="6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636.99999999999977</v>
      </c>
      <c r="O118" s="13">
        <f>N118*VLOOKUP('Données projet'!$B$9,Paramètres!$A$1:$I$89,3,0)*VLOOKUP('Données projet'!$B$9,Paramètres!$A$1:$I$89,5,0)</f>
        <v>356.08299999999991</v>
      </c>
      <c r="P118" s="13">
        <f t="shared" si="87"/>
        <v>82.813805255716545</v>
      </c>
      <c r="Q118" s="20">
        <f t="shared" si="107"/>
        <v>764.41193582037283</v>
      </c>
      <c r="R118" s="57">
        <f t="shared" si="55"/>
        <v>1057.7452691537062</v>
      </c>
      <c r="S118" s="57">
        <f ca="1">AVERAGE(OFFSET($R$3,0,0,'Données projet'!$E$9+1,1))-AVERAGE(OFFSET($H$3,0,0,'Données projet'!$E$9+1,1))</f>
        <v>443.34220761968419</v>
      </c>
      <c r="T118" s="57">
        <f t="shared" si="88"/>
        <v>546.58234447298014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32.883915297251228</v>
      </c>
      <c r="AA118" s="21">
        <f>EXP(-LN(2)/25)*AA117+(1-EXP(-LN(2)/25))/(LN(2)/25)*Calculateur!V118*Calculateur!X118*VLOOKUP('Données projet'!$B$9,Paramètres!$A$1:$I$89,3,0)*0.475*44/12</f>
        <v>2.0781709526637888</v>
      </c>
      <c r="AB118" s="21">
        <f>EXP(-LN(2)/2)*AB117+(1-EXP(-LN(2)/2))/(LN(2)/2)*V118*Y118*VLOOKUP('Données projet'!$B$9,Paramètres!$A$1:$I$89,3,0)*0.475*44/12</f>
        <v>9.713847968309299E-13</v>
      </c>
      <c r="AC118" s="22">
        <f t="shared" si="57"/>
        <v>34.962086249915991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911.99999999999898</v>
      </c>
      <c r="AJ118" s="13">
        <f>AI118*VLOOKUP('Données projet'!$B$10,Paramètres!$A$1:$I$89,3,0)*VLOOKUP('Données projet'!$B$10,Paramètres!$A$1:$I$89,5,0)</f>
        <v>426.81599999999946</v>
      </c>
      <c r="AK118" s="13">
        <f t="shared" si="89"/>
        <v>97.192496986872399</v>
      </c>
      <c r="AL118" s="20">
        <f t="shared" si="58"/>
        <v>912.64813225213504</v>
      </c>
      <c r="AM118" s="57">
        <f t="shared" si="59"/>
        <v>1205.9814655854684</v>
      </c>
      <c r="AN118" s="57">
        <f ca="1">AVERAGE(OFFSET($AM$3,0,0,'Données projet'!$E$10+1,1))-AVERAGE(OFFSET($H$3,0,0,'Données projet'!$E$10+1,1))</f>
        <v>524.3999528951972</v>
      </c>
      <c r="AO118" s="57">
        <f t="shared" si="90"/>
        <v>459.3547783500515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74.312800556556155</v>
      </c>
      <c r="AV118" s="21">
        <f>EXP(-LN(2)/25)*AV117+(1-EXP(-LN(2)/25))/(LN(2)/25)*Calculateur!AQ118*Calculateur!AS118*VLOOKUP('Données projet'!$B$10,Paramètres!$A$1:$I$89,3,0)*0.475*44/12</f>
        <v>5.0625612879844155</v>
      </c>
      <c r="AW118" s="21">
        <f>EXP(-LN(2)/2)*AW117+(1-EXP(-LN(2)/2))/(LN(2)/2)*AQ118*AT118*VLOOKUP('Données projet'!$B$10,Paramètres!$A$1:$I$89,3,0)*0.475*44/12</f>
        <v>1.9168542613413959E-13</v>
      </c>
      <c r="AX118" s="21">
        <f t="shared" si="60"/>
        <v>79.375361844540762</v>
      </c>
      <c r="AY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852.00000000000011</v>
      </c>
      <c r="BE118" s="13">
        <f>BD118*VLOOKUP('Données projet'!$B$11,Paramètres!$A$1:$I$89,3,0)*VLOOKUP('Données projet'!$B$11,Paramètres!$A$1:$I$89,5,0)</f>
        <v>409.81200000000013</v>
      </c>
      <c r="BF118" s="13">
        <f t="shared" si="91"/>
        <v>93.76308331402879</v>
      </c>
      <c r="BG118" s="20">
        <f t="shared" si="61"/>
        <v>877.05993677193362</v>
      </c>
      <c r="BH118" s="57">
        <f t="shared" si="62"/>
        <v>1170.393270105267</v>
      </c>
      <c r="BI118" s="57">
        <f ca="1">AVERAGE(OFFSET($BH$3,0,0,'Données projet'!$E$11+1,1))-AVERAGE(OFFSET($H$3,0,0,'Données projet'!$E$11+1,1))</f>
        <v>495.6473104257044</v>
      </c>
      <c r="BJ118" s="57">
        <f t="shared" si="92"/>
        <v>430.92527296485201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77.415722005355605</v>
      </c>
      <c r="BQ118" s="21">
        <f>EXP(-LN(2)/25)*BQ117+(1-EXP(-LN(2)/25))/(LN(2)/25)*Calculateur!BL118*Calculateur!BN118*VLOOKUP('Données projet'!$B$11,Paramètres!$A$1:$I$89,3,0)*0.475*44/12</f>
        <v>4.7695889912260547</v>
      </c>
      <c r="BR118" s="21">
        <f>EXP(-LN(2)/2)*BR117+(1-EXP(-LN(2)/2))/(LN(2)/2)*BL118*BO118*VLOOKUP('Données projet'!$B$11,Paramètres!$A$1:$I$89,3,0)*0.475*44/12</f>
        <v>1.1765876272354018E-13</v>
      </c>
      <c r="BS118" s="22">
        <f t="shared" si="63"/>
        <v>82.185310996581777</v>
      </c>
      <c r="BT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7" t="e">
        <f t="shared" si="65"/>
        <v>#NUM!</v>
      </c>
      <c r="CD118" s="57">
        <f ca="1">AVERAGE(OFFSET($CC$3,0,0,'Données projet'!$E$12+1,1))-AVERAGE(OFFSET($H$3,0,0,'Données projet'!$E$12+1,1))</f>
        <v>187.80389738728508</v>
      </c>
      <c r="CE118" s="57">
        <f t="shared" si="94"/>
        <v>439.28159165815265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22.941868833505215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1.9841855827694796E-13</v>
      </c>
      <c r="CN118" s="22">
        <f t="shared" si="66"/>
        <v>22.941868833505414</v>
      </c>
      <c r="CO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285</v>
      </c>
      <c r="CR118" s="12">
        <f>VLOOKUP(A118,'Données projet'!$A$139:$I$159,9,0)</f>
        <v>3.8</v>
      </c>
      <c r="CS118" s="12">
        <f t="array" ref="CS118">INDEX(CR:CR,MIN(IF(ISNUMBER(CR118:CR314),ROW(CR118:CR314),"")))</f>
        <v>3.8</v>
      </c>
      <c r="CT118" s="12">
        <f>IF('Données projet'!$A$140&gt;35,CT117+CS118-DB117,IF(A118&lt;'Données projet'!$A$140,$CQ$205^A118,IF(A118='Données projet'!$A$140,'Données projet'!$B$140,CT117+CS118-DB117)))</f>
        <v>285</v>
      </c>
      <c r="CU118" s="17">
        <f>CT118*VLOOKUP('Données projet'!$B$13,Paramètres!$A$1:$I$89,3,0)*VLOOKUP('Données projet'!$B$13,Paramètres!$A$1:$I$89,5,0)</f>
        <v>257.86799999999999</v>
      </c>
      <c r="CV118" s="13">
        <f t="shared" si="95"/>
        <v>62.267704162827528</v>
      </c>
      <c r="CW118" s="20">
        <f t="shared" si="67"/>
        <v>557.56968475025803</v>
      </c>
      <c r="CX118" s="57">
        <f t="shared" si="68"/>
        <v>850.90301808359141</v>
      </c>
      <c r="CY118" s="57">
        <f ca="1">AVERAGE(OFFSET($CX$3,0,0,'Données projet'!$E$13+1,1))-AVERAGE(OFFSET($H$3,0,0,'Données projet'!$E$13+1,1))</f>
        <v>364.3481978218424</v>
      </c>
      <c r="CZ118" s="57">
        <f t="shared" si="96"/>
        <v>231.36959598460686</v>
      </c>
      <c r="DA118" s="15">
        <f>IF(ISNA(VLOOKUP(A118,'Données projet'!$A$139:$I$159,3,0)),0,VLOOKUP(A118,'Données projet'!$A$139:$I$159,3,0))</f>
        <v>19</v>
      </c>
      <c r="DB118" s="15">
        <f>IF(ISNA(VLOOKUP(A118,'Données projet'!$A$139:$I$159,4,0)),0,VLOOKUP(A118,'Données projet'!$A$139:$I$159,4,0))</f>
        <v>18</v>
      </c>
      <c r="DC118" s="16">
        <f>IF(ISNA(VLOOKUP(A118,'Données projet'!$A$139:$I$159,5,0)),0%,VLOOKUP(A118,'Données projet'!$A$139:$I$159,5,0)*VLOOKUP('Données projet'!$B$13,Paramètres!$A$1:$I$89,7,0))</f>
        <v>0.43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75.58645331647331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75.58645331647331</v>
      </c>
      <c r="DJ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255.00000000000006</v>
      </c>
      <c r="DP118" s="17">
        <f>DO118*VLOOKUP('Données projet'!$B$14,Paramètres!$A$1:$I$89,3,0)*VLOOKUP('Données projet'!$B$14,Paramètres!$A$1:$I$89,5,0)</f>
        <v>186.96600000000004</v>
      </c>
      <c r="DQ118" s="13">
        <f t="shared" si="97"/>
        <v>46.868551400324648</v>
      </c>
      <c r="DR118" s="20">
        <f t="shared" si="70"/>
        <v>407.26184368889881</v>
      </c>
      <c r="DS118" s="57">
        <f t="shared" si="71"/>
        <v>700.59517702223206</v>
      </c>
      <c r="DT118" s="57">
        <f ca="1">AVERAGE(OFFSET($DS$3,0,0,'Données projet'!$E$14+1,1))-AVERAGE(OFFSET($H$3,0,0,'Données projet'!$E$14+1,1))</f>
        <v>239.25212250019609</v>
      </c>
      <c r="DU118" s="57">
        <f t="shared" si="98"/>
        <v>213.58492101729695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>
        <f>VLOOKUP(A118,'Données projet'!$A$191:$I$211,2,0)</f>
        <v>425</v>
      </c>
      <c r="EH118" s="12">
        <f>VLOOKUP(A118,'Données projet'!$A$191:$I$211,9,0)</f>
        <v>5.8</v>
      </c>
      <c r="EI118" s="12">
        <f t="array" ref="EI118">INDEX(EH:EH,MIN(IF(ISNUMBER(EH118:EH314),ROW(EH118:EH314),"")))</f>
        <v>5.8</v>
      </c>
      <c r="EJ118" s="12">
        <f>IF('Données projet'!$A$192&gt;35,EJ117+EI118-ER117,IF(A118&lt;'Données projet'!$A$192,$EG$205^A118,IF(A118='Données projet'!$A$192,'Données projet'!$B$192,EJ117+EI118-ER117)))</f>
        <v>424.99999999999994</v>
      </c>
      <c r="EK118" s="17">
        <f>EJ118*VLOOKUP('Données projet'!$B$15,Paramètres!$A$1:$I$89,3,0)*VLOOKUP('Données projet'!$B$15,Paramètres!$A$1:$I$89,5,0)</f>
        <v>364.65000000000003</v>
      </c>
      <c r="EL118" s="13">
        <f t="shared" si="99"/>
        <v>84.57186171626158</v>
      </c>
      <c r="EM118" s="20">
        <f t="shared" si="73"/>
        <v>782.39474248915565</v>
      </c>
      <c r="EN118" s="57">
        <f t="shared" si="74"/>
        <v>1075.728075822489</v>
      </c>
      <c r="EO118" s="57">
        <f ca="1">AVERAGE(OFFSET($EN$3,0,0,'Données projet'!$E$15+1,1))-AVERAGE(OFFSET($H$3,0,0,'Données projet'!$E$15+1,1))</f>
        <v>447.10969593632467</v>
      </c>
      <c r="EP118" s="57">
        <f t="shared" si="100"/>
        <v>256.77417912163997</v>
      </c>
      <c r="EQ118" s="15">
        <f>IF(ISNA(VLOOKUP(A118,'Données projet'!$A$191:$I$211,3,0)),0,VLOOKUP(A118,'Données projet'!$A$191:$I$211,3,0))</f>
        <v>19</v>
      </c>
      <c r="ER118" s="15">
        <f>IF(ISNA(VLOOKUP(A118,'Données projet'!$A$191:$I$211,4,0)),0,VLOOKUP(A118,'Données projet'!$A$191:$I$211,4,0))</f>
        <v>21</v>
      </c>
      <c r="ES118" s="16">
        <f>IF(ISNA(VLOOKUP(A118,'Données projet'!$A$191:$I$211,5,0)),0%,VLOOKUP(A118,'Données projet'!$A$191:$I$211,5,0)*VLOOKUP('Données projet'!$B$15,Paramètres!$A$1:$I$89,7,0))</f>
        <v>0.53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109.85735463705974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109.85735463705974</v>
      </c>
      <c r="EZ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7" t="e">
        <f t="shared" si="77"/>
        <v>#N/A</v>
      </c>
      <c r="FJ118" s="57" t="e">
        <f ca="1">AVERAGE(OFFSET($FI$3,0,0,'Données projet'!$E$16+1,1))-AVERAGE(OFFSET($H$3,0,0,'Données projet'!$E$16+1,1))</f>
        <v>#N/A</v>
      </c>
      <c r="FK118" s="57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7" t="e">
        <f t="shared" si="80"/>
        <v>#N/A</v>
      </c>
      <c r="GE118" s="57" t="e">
        <f ca="1">AVERAGE(OFFSET($GD$3,0,0,'Données projet'!$E$17+1,1))-AVERAGE(OFFSET($H$3,0,0,'Données projet'!$E$17+1,1))</f>
        <v>#N/A</v>
      </c>
      <c r="GF118" s="57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7" t="e">
        <f t="shared" si="83"/>
        <v>#N/A</v>
      </c>
      <c r="GZ118" s="57" t="e">
        <f ca="1">AVERAGE(OFFSET($GY$3,0,0,'Données projet'!$E$18+1,1))-AVERAGE(OFFSET($H$3,0,0,'Données projet'!$E$18+1,1))</f>
        <v>#N/A</v>
      </c>
      <c r="HA118" s="57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0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4">
        <f t="shared" si="56"/>
        <v>256.66666666666669</v>
      </c>
      <c r="I119" s="6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636.99999999999977</v>
      </c>
      <c r="O119" s="13">
        <f>N119*VLOOKUP('Données projet'!$B$9,Paramètres!$A$1:$I$89,3,0)*VLOOKUP('Données projet'!$B$9,Paramètres!$A$1:$I$89,5,0)</f>
        <v>356.08299999999991</v>
      </c>
      <c r="P119" s="13">
        <f t="shared" si="87"/>
        <v>82.813805255716545</v>
      </c>
      <c r="Q119" s="20">
        <f t="shared" si="107"/>
        <v>764.41193582037283</v>
      </c>
      <c r="R119" s="57">
        <f t="shared" si="55"/>
        <v>1057.7452691537062</v>
      </c>
      <c r="S119" s="57">
        <f ca="1">AVERAGE(OFFSET($R$3,0,0,'Données projet'!$E$9+1,1))-AVERAGE(OFFSET($H$3,0,0,'Données projet'!$E$9+1,1))</f>
        <v>443.34220761968419</v>
      </c>
      <c r="T119" s="57">
        <f t="shared" si="88"/>
        <v>546.58234447298014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32.239081775479981</v>
      </c>
      <c r="AA119" s="21">
        <f>EXP(-LN(2)/25)*AA118+(1-EXP(-LN(2)/25))/(LN(2)/25)*Calculateur!V119*Calculateur!X119*VLOOKUP('Données projet'!$B$9,Paramètres!$A$1:$I$89,3,0)*0.475*44/12</f>
        <v>2.0213432586769366</v>
      </c>
      <c r="AB119" s="21">
        <f>EXP(-LN(2)/2)*AB118+(1-EXP(-LN(2)/2))/(LN(2)/2)*V119*Y119*VLOOKUP('Données projet'!$B$9,Paramètres!$A$1:$I$89,3,0)*0.475*44/12</f>
        <v>6.8687277698066728E-13</v>
      </c>
      <c r="AC119" s="22">
        <f t="shared" si="57"/>
        <v>34.260425034157606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911.99999999999898</v>
      </c>
      <c r="AJ119" s="13">
        <f>AI119*VLOOKUP('Données projet'!$B$10,Paramètres!$A$1:$I$89,3,0)*VLOOKUP('Données projet'!$B$10,Paramètres!$A$1:$I$89,5,0)</f>
        <v>426.81599999999946</v>
      </c>
      <c r="AK119" s="13">
        <f t="shared" si="89"/>
        <v>97.192496986872399</v>
      </c>
      <c r="AL119" s="20">
        <f t="shared" si="58"/>
        <v>912.64813225213504</v>
      </c>
      <c r="AM119" s="57">
        <f t="shared" si="59"/>
        <v>1205.9814655854684</v>
      </c>
      <c r="AN119" s="57">
        <f ca="1">AVERAGE(OFFSET($AM$3,0,0,'Données projet'!$E$10+1,1))-AVERAGE(OFFSET($H$3,0,0,'Données projet'!$E$10+1,1))</f>
        <v>524.3999528951972</v>
      </c>
      <c r="AO119" s="57">
        <f t="shared" si="90"/>
        <v>459.3547783500515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72.855571863974831</v>
      </c>
      <c r="AV119" s="21">
        <f>EXP(-LN(2)/25)*AV118+(1-EXP(-LN(2)/25))/(LN(2)/25)*Calculateur!AQ119*Calculateur!AS119*VLOOKUP('Données projet'!$B$10,Paramètres!$A$1:$I$89,3,0)*0.475*44/12</f>
        <v>4.9241252833359539</v>
      </c>
      <c r="AW119" s="21">
        <f>EXP(-LN(2)/2)*AW118+(1-EXP(-LN(2)/2))/(LN(2)/2)*AQ119*AT119*VLOOKUP('Données projet'!$B$10,Paramètres!$A$1:$I$89,3,0)*0.475*44/12</f>
        <v>1.3554206467408316E-13</v>
      </c>
      <c r="AX119" s="21">
        <f t="shared" si="60"/>
        <v>77.779697147310927</v>
      </c>
      <c r="AY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852.00000000000011</v>
      </c>
      <c r="BE119" s="13">
        <f>BD119*VLOOKUP('Données projet'!$B$11,Paramètres!$A$1:$I$89,3,0)*VLOOKUP('Données projet'!$B$11,Paramètres!$A$1:$I$89,5,0)</f>
        <v>409.81200000000013</v>
      </c>
      <c r="BF119" s="13">
        <f t="shared" si="91"/>
        <v>93.76308331402879</v>
      </c>
      <c r="BG119" s="20">
        <f t="shared" si="61"/>
        <v>877.05993677193362</v>
      </c>
      <c r="BH119" s="57">
        <f t="shared" si="62"/>
        <v>1170.393270105267</v>
      </c>
      <c r="BI119" s="57">
        <f ca="1">AVERAGE(OFFSET($BH$3,0,0,'Données projet'!$E$11+1,1))-AVERAGE(OFFSET($H$3,0,0,'Données projet'!$E$11+1,1))</f>
        <v>495.6473104257044</v>
      </c>
      <c r="BJ119" s="57">
        <f t="shared" si="92"/>
        <v>430.92527296485201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75.897646915758529</v>
      </c>
      <c r="BQ119" s="21">
        <f>EXP(-LN(2)/25)*BQ118+(1-EXP(-LN(2)/25))/(LN(2)/25)*Calculateur!BL119*Calculateur!BN119*VLOOKUP('Données projet'!$B$11,Paramètres!$A$1:$I$89,3,0)*0.475*44/12</f>
        <v>4.6391643294391942</v>
      </c>
      <c r="BR119" s="21">
        <f>EXP(-LN(2)/2)*BR118+(1-EXP(-LN(2)/2))/(LN(2)/2)*BL119*BO119*VLOOKUP('Données projet'!$B$11,Paramètres!$A$1:$I$89,3,0)*0.475*44/12</f>
        <v>8.3197308987834238E-14</v>
      </c>
      <c r="BS119" s="22">
        <f t="shared" si="63"/>
        <v>80.536811245197811</v>
      </c>
      <c r="BT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7" t="e">
        <f t="shared" si="65"/>
        <v>#NUM!</v>
      </c>
      <c r="CD119" s="57">
        <f ca="1">AVERAGE(OFFSET($CC$3,0,0,'Données projet'!$E$12+1,1))-AVERAGE(OFFSET($H$3,0,0,'Données projet'!$E$12+1,1))</f>
        <v>187.80389738728508</v>
      </c>
      <c r="CE119" s="57">
        <f t="shared" si="94"/>
        <v>439.28159165815265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22.491992778838455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1.4030310807088806E-13</v>
      </c>
      <c r="CN119" s="22">
        <f t="shared" si="66"/>
        <v>22.491992778838593</v>
      </c>
      <c r="CO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267</v>
      </c>
      <c r="CU119" s="17">
        <f>CT119*VLOOKUP('Données projet'!$B$13,Paramètres!$A$1:$I$89,3,0)*VLOOKUP('Données projet'!$B$13,Paramètres!$A$1:$I$89,5,0)</f>
        <v>241.58159999999998</v>
      </c>
      <c r="CV119" s="13">
        <f t="shared" si="95"/>
        <v>58.779689232021951</v>
      </c>
      <c r="CW119" s="20">
        <f t="shared" si="67"/>
        <v>523.12924541243819</v>
      </c>
      <c r="CX119" s="57">
        <f t="shared" si="68"/>
        <v>816.46257874577145</v>
      </c>
      <c r="CY119" s="57">
        <f ca="1">AVERAGE(OFFSET($CX$3,0,0,'Données projet'!$E$13+1,1))-AVERAGE(OFFSET($H$3,0,0,'Données projet'!$E$13+1,1))</f>
        <v>364.3481978218424</v>
      </c>
      <c r="CZ119" s="57">
        <f t="shared" si="96"/>
        <v>231.36959598460686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74.104249070121483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74.104249070121483</v>
      </c>
      <c r="DJ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255.00000000000006</v>
      </c>
      <c r="DP119" s="17">
        <f>DO119*VLOOKUP('Données projet'!$B$14,Paramètres!$A$1:$I$89,3,0)*VLOOKUP('Données projet'!$B$14,Paramètres!$A$1:$I$89,5,0)</f>
        <v>186.96600000000004</v>
      </c>
      <c r="DQ119" s="13">
        <f t="shared" si="97"/>
        <v>46.868551400324648</v>
      </c>
      <c r="DR119" s="20">
        <f t="shared" si="70"/>
        <v>407.26184368889881</v>
      </c>
      <c r="DS119" s="57">
        <f t="shared" si="71"/>
        <v>700.59517702223206</v>
      </c>
      <c r="DT119" s="57">
        <f ca="1">AVERAGE(OFFSET($DS$3,0,0,'Données projet'!$E$14+1,1))-AVERAGE(OFFSET($H$3,0,0,'Données projet'!$E$14+1,1))</f>
        <v>239.25212250019609</v>
      </c>
      <c r="DU119" s="57">
        <f t="shared" si="98"/>
        <v>213.58492101729695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403.99999999999994</v>
      </c>
      <c r="EK119" s="17">
        <f>EJ119*VLOOKUP('Données projet'!$B$15,Paramètres!$A$1:$I$89,3,0)*VLOOKUP('Données projet'!$B$15,Paramètres!$A$1:$I$89,5,0)</f>
        <v>346.63200000000001</v>
      </c>
      <c r="EL119" s="13">
        <f t="shared" si="99"/>
        <v>80.868615263336864</v>
      </c>
      <c r="EM119" s="20">
        <f t="shared" si="73"/>
        <v>744.56357158364483</v>
      </c>
      <c r="EN119" s="57">
        <f t="shared" si="74"/>
        <v>1037.8969049169782</v>
      </c>
      <c r="EO119" s="57">
        <f ca="1">AVERAGE(OFFSET($EN$3,0,0,'Données projet'!$E$15+1,1))-AVERAGE(OFFSET($H$3,0,0,'Données projet'!$E$15+1,1))</f>
        <v>447.10969593632467</v>
      </c>
      <c r="EP119" s="57">
        <f t="shared" si="100"/>
        <v>256.77417912163997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107.70311891899701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107.70311891899701</v>
      </c>
      <c r="EZ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7" t="e">
        <f t="shared" si="77"/>
        <v>#N/A</v>
      </c>
      <c r="FJ119" s="57" t="e">
        <f ca="1">AVERAGE(OFFSET($FI$3,0,0,'Données projet'!$E$16+1,1))-AVERAGE(OFFSET($H$3,0,0,'Données projet'!$E$16+1,1))</f>
        <v>#N/A</v>
      </c>
      <c r="FK119" s="57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7" t="e">
        <f t="shared" si="80"/>
        <v>#N/A</v>
      </c>
      <c r="GE119" s="57" t="e">
        <f ca="1">AVERAGE(OFFSET($GD$3,0,0,'Données projet'!$E$17+1,1))-AVERAGE(OFFSET($H$3,0,0,'Données projet'!$E$17+1,1))</f>
        <v>#N/A</v>
      </c>
      <c r="GF119" s="57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7" t="e">
        <f t="shared" si="83"/>
        <v>#N/A</v>
      </c>
      <c r="GZ119" s="57" t="e">
        <f ca="1">AVERAGE(OFFSET($GY$3,0,0,'Données projet'!$E$18+1,1))-AVERAGE(OFFSET($H$3,0,0,'Données projet'!$E$18+1,1))</f>
        <v>#N/A</v>
      </c>
      <c r="HA119" s="57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0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4">
        <f t="shared" si="56"/>
        <v>256.66666666666669</v>
      </c>
      <c r="I120" s="6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636.99999999999977</v>
      </c>
      <c r="O120" s="13">
        <f>N120*VLOOKUP('Données projet'!$B$9,Paramètres!$A$1:$I$89,3,0)*VLOOKUP('Données projet'!$B$9,Paramètres!$A$1:$I$89,5,0)</f>
        <v>356.08299999999991</v>
      </c>
      <c r="P120" s="13">
        <f t="shared" si="87"/>
        <v>82.813805255716545</v>
      </c>
      <c r="Q120" s="20">
        <f t="shared" si="107"/>
        <v>764.41193582037283</v>
      </c>
      <c r="R120" s="57">
        <f t="shared" si="55"/>
        <v>1057.7452691537062</v>
      </c>
      <c r="S120" s="57">
        <f ca="1">AVERAGE(OFFSET($R$3,0,0,'Données projet'!$E$9+1,1))-AVERAGE(OFFSET($H$3,0,0,'Données projet'!$E$9+1,1))</f>
        <v>443.34220761968419</v>
      </c>
      <c r="T120" s="57">
        <f t="shared" si="88"/>
        <v>546.58234447298014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31.606893045761055</v>
      </c>
      <c r="AA120" s="21">
        <f>EXP(-LN(2)/25)*AA119+(1-EXP(-LN(2)/25))/(LN(2)/25)*Calculateur!V120*Calculateur!X120*VLOOKUP('Données projet'!$B$9,Paramètres!$A$1:$I$89,3,0)*0.475*44/12</f>
        <v>1.9660695209705936</v>
      </c>
      <c r="AB120" s="21">
        <f>EXP(-LN(2)/2)*AB119+(1-EXP(-LN(2)/2))/(LN(2)/2)*V120*Y120*VLOOKUP('Données projet'!$B$9,Paramètres!$A$1:$I$89,3,0)*0.475*44/12</f>
        <v>4.8569239841546495E-13</v>
      </c>
      <c r="AC120" s="22">
        <f t="shared" si="57"/>
        <v>33.57296256673213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911.99999999999898</v>
      </c>
      <c r="AJ120" s="13">
        <f>AI120*VLOOKUP('Données projet'!$B$10,Paramètres!$A$1:$I$89,3,0)*VLOOKUP('Données projet'!$B$10,Paramètres!$A$1:$I$89,5,0)</f>
        <v>426.81599999999946</v>
      </c>
      <c r="AK120" s="13">
        <f t="shared" si="89"/>
        <v>97.192496986872399</v>
      </c>
      <c r="AL120" s="20">
        <f t="shared" si="58"/>
        <v>912.64813225213504</v>
      </c>
      <c r="AM120" s="57">
        <f t="shared" si="59"/>
        <v>1205.9814655854684</v>
      </c>
      <c r="AN120" s="57">
        <f ca="1">AVERAGE(OFFSET($AM$3,0,0,'Données projet'!$E$10+1,1))-AVERAGE(OFFSET($H$3,0,0,'Données projet'!$E$10+1,1))</f>
        <v>524.3999528951972</v>
      </c>
      <c r="AO120" s="57">
        <f t="shared" si="90"/>
        <v>459.3547783500515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71.426918537233277</v>
      </c>
      <c r="AV120" s="21">
        <f>EXP(-LN(2)/25)*AV119+(1-EXP(-LN(2)/25))/(LN(2)/25)*Calculateur!AQ120*Calculateur!AS120*VLOOKUP('Données projet'!$B$10,Paramètres!$A$1:$I$89,3,0)*0.475*44/12</f>
        <v>4.7894748185146376</v>
      </c>
      <c r="AW120" s="21">
        <f>EXP(-LN(2)/2)*AW119+(1-EXP(-LN(2)/2))/(LN(2)/2)*AQ120*AT120*VLOOKUP('Données projet'!$B$10,Paramètres!$A$1:$I$89,3,0)*0.475*44/12</f>
        <v>9.5842713067069796E-14</v>
      </c>
      <c r="AX120" s="21">
        <f t="shared" si="60"/>
        <v>76.216393355748011</v>
      </c>
      <c r="AY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852.00000000000011</v>
      </c>
      <c r="BE120" s="13">
        <f>BD120*VLOOKUP('Données projet'!$B$11,Paramètres!$A$1:$I$89,3,0)*VLOOKUP('Données projet'!$B$11,Paramètres!$A$1:$I$89,5,0)</f>
        <v>409.81200000000013</v>
      </c>
      <c r="BF120" s="13">
        <f t="shared" si="91"/>
        <v>93.76308331402879</v>
      </c>
      <c r="BG120" s="20">
        <f t="shared" si="61"/>
        <v>877.05993677193362</v>
      </c>
      <c r="BH120" s="57">
        <f t="shared" si="62"/>
        <v>1170.393270105267</v>
      </c>
      <c r="BI120" s="57">
        <f ca="1">AVERAGE(OFFSET($BH$3,0,0,'Données projet'!$E$11+1,1))-AVERAGE(OFFSET($H$3,0,0,'Données projet'!$E$11+1,1))</f>
        <v>495.6473104257044</v>
      </c>
      <c r="BJ120" s="57">
        <f t="shared" si="92"/>
        <v>430.92527296485201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74.409340352734063</v>
      </c>
      <c r="BQ120" s="21">
        <f>EXP(-LN(2)/25)*BQ119+(1-EXP(-LN(2)/25))/(LN(2)/25)*Calculateur!BL120*Calculateur!BN120*VLOOKUP('Données projet'!$B$11,Paramètres!$A$1:$I$89,3,0)*0.475*44/12</f>
        <v>4.5123061368876307</v>
      </c>
      <c r="BR120" s="21">
        <f>EXP(-LN(2)/2)*BR119+(1-EXP(-LN(2)/2))/(LN(2)/2)*BL120*BO120*VLOOKUP('Données projet'!$B$11,Paramètres!$A$1:$I$89,3,0)*0.475*44/12</f>
        <v>5.8829381361770088E-14</v>
      </c>
      <c r="BS120" s="22">
        <f t="shared" si="63"/>
        <v>78.92164648962175</v>
      </c>
      <c r="BT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7" t="e">
        <f t="shared" si="65"/>
        <v>#NUM!</v>
      </c>
      <c r="CD120" s="57">
        <f ca="1">AVERAGE(OFFSET($CC$3,0,0,'Données projet'!$E$12+1,1))-AVERAGE(OFFSET($H$3,0,0,'Données projet'!$E$12+1,1))</f>
        <v>187.80389738728508</v>
      </c>
      <c r="CE120" s="57">
        <f t="shared" si="94"/>
        <v>439.28159165815265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22.050938519206412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9.9209279138473978E-14</v>
      </c>
      <c r="CN120" s="22">
        <f t="shared" si="66"/>
        <v>22.050938519206511</v>
      </c>
      <c r="CO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267</v>
      </c>
      <c r="CU120" s="17">
        <f>CT120*VLOOKUP('Données projet'!$B$13,Paramètres!$A$1:$I$89,3,0)*VLOOKUP('Données projet'!$B$13,Paramètres!$A$1:$I$89,5,0)</f>
        <v>241.58159999999998</v>
      </c>
      <c r="CV120" s="13">
        <f t="shared" si="95"/>
        <v>58.779689232021951</v>
      </c>
      <c r="CW120" s="20">
        <f t="shared" si="67"/>
        <v>523.12924541243819</v>
      </c>
      <c r="CX120" s="57">
        <f t="shared" si="68"/>
        <v>816.46257874577145</v>
      </c>
      <c r="CY120" s="57">
        <f ca="1">AVERAGE(OFFSET($CX$3,0,0,'Données projet'!$E$13+1,1))-AVERAGE(OFFSET($H$3,0,0,'Données projet'!$E$13+1,1))</f>
        <v>364.3481978218424</v>
      </c>
      <c r="CZ120" s="57">
        <f t="shared" si="96"/>
        <v>231.36959598460686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72.651109944985294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72.651109944985294</v>
      </c>
      <c r="DJ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255.00000000000006</v>
      </c>
      <c r="DP120" s="17">
        <f>DO120*VLOOKUP('Données projet'!$B$14,Paramètres!$A$1:$I$89,3,0)*VLOOKUP('Données projet'!$B$14,Paramètres!$A$1:$I$89,5,0)</f>
        <v>186.96600000000004</v>
      </c>
      <c r="DQ120" s="13">
        <f t="shared" si="97"/>
        <v>46.868551400324648</v>
      </c>
      <c r="DR120" s="20">
        <f t="shared" si="70"/>
        <v>407.26184368889881</v>
      </c>
      <c r="DS120" s="57">
        <f t="shared" si="71"/>
        <v>700.59517702223206</v>
      </c>
      <c r="DT120" s="57">
        <f ca="1">AVERAGE(OFFSET($DS$3,0,0,'Données projet'!$E$14+1,1))-AVERAGE(OFFSET($H$3,0,0,'Données projet'!$E$14+1,1))</f>
        <v>239.25212250019609</v>
      </c>
      <c r="DU120" s="57">
        <f t="shared" si="98"/>
        <v>213.58492101729695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403.99999999999994</v>
      </c>
      <c r="EK120" s="17">
        <f>EJ120*VLOOKUP('Données projet'!$B$15,Paramètres!$A$1:$I$89,3,0)*VLOOKUP('Données projet'!$B$15,Paramètres!$A$1:$I$89,5,0)</f>
        <v>346.63200000000001</v>
      </c>
      <c r="EL120" s="13">
        <f t="shared" si="99"/>
        <v>80.868615263336864</v>
      </c>
      <c r="EM120" s="20">
        <f t="shared" si="73"/>
        <v>744.56357158364483</v>
      </c>
      <c r="EN120" s="57">
        <f t="shared" si="74"/>
        <v>1037.8969049169782</v>
      </c>
      <c r="EO120" s="57">
        <f ca="1">AVERAGE(OFFSET($EN$3,0,0,'Données projet'!$E$15+1,1))-AVERAGE(OFFSET($H$3,0,0,'Données projet'!$E$15+1,1))</f>
        <v>447.10969593632467</v>
      </c>
      <c r="EP120" s="57">
        <f t="shared" si="100"/>
        <v>256.77417912163997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105.59112644941143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105.59112644941143</v>
      </c>
      <c r="EZ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7" t="e">
        <f t="shared" si="77"/>
        <v>#N/A</v>
      </c>
      <c r="FJ120" s="57" t="e">
        <f ca="1">AVERAGE(OFFSET($FI$3,0,0,'Données projet'!$E$16+1,1))-AVERAGE(OFFSET($H$3,0,0,'Données projet'!$E$16+1,1))</f>
        <v>#N/A</v>
      </c>
      <c r="FK120" s="57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7" t="e">
        <f t="shared" si="80"/>
        <v>#N/A</v>
      </c>
      <c r="GE120" s="57" t="e">
        <f ca="1">AVERAGE(OFFSET($GD$3,0,0,'Données projet'!$E$17+1,1))-AVERAGE(OFFSET($H$3,0,0,'Données projet'!$E$17+1,1))</f>
        <v>#N/A</v>
      </c>
      <c r="GF120" s="57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7" t="e">
        <f t="shared" si="83"/>
        <v>#N/A</v>
      </c>
      <c r="GZ120" s="57" t="e">
        <f ca="1">AVERAGE(OFFSET($GY$3,0,0,'Données projet'!$E$18+1,1))-AVERAGE(OFFSET($H$3,0,0,'Données projet'!$E$18+1,1))</f>
        <v>#N/A</v>
      </c>
      <c r="HA120" s="57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0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4">
        <f t="shared" si="56"/>
        <v>256.66666666666669</v>
      </c>
      <c r="I121" s="6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636.99999999999977</v>
      </c>
      <c r="O121" s="13">
        <f>N121*VLOOKUP('Données projet'!$B$9,Paramètres!$A$1:$I$89,3,0)*VLOOKUP('Données projet'!$B$9,Paramètres!$A$1:$I$89,5,0)</f>
        <v>356.08299999999991</v>
      </c>
      <c r="P121" s="13">
        <f t="shared" si="87"/>
        <v>82.813805255716545</v>
      </c>
      <c r="Q121" s="20">
        <f t="shared" si="107"/>
        <v>764.41193582037283</v>
      </c>
      <c r="R121" s="57">
        <f t="shared" si="55"/>
        <v>1057.7452691537062</v>
      </c>
      <c r="S121" s="57">
        <f ca="1">AVERAGE(OFFSET($R$3,0,0,'Données projet'!$E$9+1,1))-AVERAGE(OFFSET($H$3,0,0,'Données projet'!$E$9+1,1))</f>
        <v>443.34220761968419</v>
      </c>
      <c r="T121" s="57">
        <f t="shared" si="88"/>
        <v>546.58234447298014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30.987101151434864</v>
      </c>
      <c r="AA121" s="21">
        <f>EXP(-LN(2)/25)*AA120+(1-EXP(-LN(2)/25))/(LN(2)/25)*Calculateur!V121*Calculateur!X121*VLOOKUP('Données projet'!$B$9,Paramètres!$A$1:$I$89,3,0)*0.475*44/12</f>
        <v>1.9123072465285502</v>
      </c>
      <c r="AB121" s="21">
        <f>EXP(-LN(2)/2)*AB120+(1-EXP(-LN(2)/2))/(LN(2)/2)*V121*Y121*VLOOKUP('Données projet'!$B$9,Paramètres!$A$1:$I$89,3,0)*0.475*44/12</f>
        <v>3.4343638849033364E-13</v>
      </c>
      <c r="AC121" s="22">
        <f t="shared" si="57"/>
        <v>32.899408397963754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911.99999999999898</v>
      </c>
      <c r="AJ121" s="13">
        <f>AI121*VLOOKUP('Données projet'!$B$10,Paramètres!$A$1:$I$89,3,0)*VLOOKUP('Données projet'!$B$10,Paramètres!$A$1:$I$89,5,0)</f>
        <v>426.81599999999946</v>
      </c>
      <c r="AK121" s="13">
        <f t="shared" si="89"/>
        <v>97.192496986872399</v>
      </c>
      <c r="AL121" s="20">
        <f t="shared" si="58"/>
        <v>912.64813225213504</v>
      </c>
      <c r="AM121" s="57">
        <f t="shared" si="59"/>
        <v>1205.9814655854684</v>
      </c>
      <c r="AN121" s="57">
        <f ca="1">AVERAGE(OFFSET($AM$3,0,0,'Données projet'!$E$10+1,1))-AVERAGE(OFFSET($H$3,0,0,'Données projet'!$E$10+1,1))</f>
        <v>524.3999528951972</v>
      </c>
      <c r="AO121" s="57">
        <f t="shared" si="90"/>
        <v>459.3547783500515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70.026280230836647</v>
      </c>
      <c r="AV121" s="21">
        <f>EXP(-LN(2)/25)*AV120+(1-EXP(-LN(2)/25))/(LN(2)/25)*Calculateur!AQ121*Calculateur!AS121*VLOOKUP('Données projet'!$B$10,Paramètres!$A$1:$I$89,3,0)*0.475*44/12</f>
        <v>4.6585063777348203</v>
      </c>
      <c r="AW121" s="21">
        <f>EXP(-LN(2)/2)*AW120+(1-EXP(-LN(2)/2))/(LN(2)/2)*AQ121*AT121*VLOOKUP('Données projet'!$B$10,Paramètres!$A$1:$I$89,3,0)*0.475*44/12</f>
        <v>6.7771032337041581E-14</v>
      </c>
      <c r="AX121" s="21">
        <f t="shared" si="60"/>
        <v>74.684786608571542</v>
      </c>
      <c r="AY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852.00000000000011</v>
      </c>
      <c r="BE121" s="13">
        <f>BD121*VLOOKUP('Données projet'!$B$11,Paramètres!$A$1:$I$89,3,0)*VLOOKUP('Données projet'!$B$11,Paramètres!$A$1:$I$89,5,0)</f>
        <v>409.81200000000013</v>
      </c>
      <c r="BF121" s="13">
        <f t="shared" si="91"/>
        <v>93.76308331402879</v>
      </c>
      <c r="BG121" s="20">
        <f t="shared" si="61"/>
        <v>877.05993677193362</v>
      </c>
      <c r="BH121" s="57">
        <f t="shared" si="62"/>
        <v>1170.393270105267</v>
      </c>
      <c r="BI121" s="57">
        <f ca="1">AVERAGE(OFFSET($BH$3,0,0,'Données projet'!$E$11+1,1))-AVERAGE(OFFSET($H$3,0,0,'Données projet'!$E$11+1,1))</f>
        <v>495.6473104257044</v>
      </c>
      <c r="BJ121" s="57">
        <f t="shared" si="92"/>
        <v>430.92527296485201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72.950218573633151</v>
      </c>
      <c r="BQ121" s="21">
        <f>EXP(-LN(2)/25)*BQ120+(1-EXP(-LN(2)/25))/(LN(2)/25)*Calculateur!BL121*Calculateur!BN121*VLOOKUP('Données projet'!$B$11,Paramètres!$A$1:$I$89,3,0)*0.475*44/12</f>
        <v>4.388916888282572</v>
      </c>
      <c r="BR121" s="21">
        <f>EXP(-LN(2)/2)*BR120+(1-EXP(-LN(2)/2))/(LN(2)/2)*BL121*BO121*VLOOKUP('Données projet'!$B$11,Paramètres!$A$1:$I$89,3,0)*0.475*44/12</f>
        <v>4.1598654493917119E-14</v>
      </c>
      <c r="BS121" s="22">
        <f t="shared" si="63"/>
        <v>77.33913546191576</v>
      </c>
      <c r="BT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7" t="e">
        <f t="shared" si="65"/>
        <v>#NUM!</v>
      </c>
      <c r="CD121" s="57">
        <f ca="1">AVERAGE(OFFSET($CC$3,0,0,'Données projet'!$E$12+1,1))-AVERAGE(OFFSET($H$3,0,0,'Données projet'!$E$12+1,1))</f>
        <v>187.80389738728508</v>
      </c>
      <c r="CE121" s="57">
        <f t="shared" si="94"/>
        <v>439.28159165815265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21.618533064589219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7.0151554035444032E-14</v>
      </c>
      <c r="CN121" s="22">
        <f t="shared" si="66"/>
        <v>21.61853306458929</v>
      </c>
      <c r="CO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267</v>
      </c>
      <c r="CU121" s="17">
        <f>CT121*VLOOKUP('Données projet'!$B$13,Paramètres!$A$1:$I$89,3,0)*VLOOKUP('Données projet'!$B$13,Paramètres!$A$1:$I$89,5,0)</f>
        <v>241.58159999999998</v>
      </c>
      <c r="CV121" s="13">
        <f t="shared" si="95"/>
        <v>58.779689232021951</v>
      </c>
      <c r="CW121" s="20">
        <f t="shared" si="67"/>
        <v>523.12924541243819</v>
      </c>
      <c r="CX121" s="57">
        <f t="shared" si="68"/>
        <v>816.46257874577145</v>
      </c>
      <c r="CY121" s="57">
        <f ca="1">AVERAGE(OFFSET($CX$3,0,0,'Données projet'!$E$13+1,1))-AVERAGE(OFFSET($H$3,0,0,'Données projet'!$E$13+1,1))</f>
        <v>364.3481978218424</v>
      </c>
      <c r="CZ121" s="57">
        <f t="shared" si="96"/>
        <v>231.36959598460686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71.226465991765679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71.226465991765679</v>
      </c>
      <c r="DJ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255.00000000000006</v>
      </c>
      <c r="DP121" s="17">
        <f>DO121*VLOOKUP('Données projet'!$B$14,Paramètres!$A$1:$I$89,3,0)*VLOOKUP('Données projet'!$B$14,Paramètres!$A$1:$I$89,5,0)</f>
        <v>186.96600000000004</v>
      </c>
      <c r="DQ121" s="13">
        <f t="shared" si="97"/>
        <v>46.868551400324648</v>
      </c>
      <c r="DR121" s="20">
        <f t="shared" si="70"/>
        <v>407.26184368889881</v>
      </c>
      <c r="DS121" s="57">
        <f t="shared" si="71"/>
        <v>700.59517702223206</v>
      </c>
      <c r="DT121" s="57">
        <f ca="1">AVERAGE(OFFSET($DS$3,0,0,'Données projet'!$E$14+1,1))-AVERAGE(OFFSET($H$3,0,0,'Données projet'!$E$14+1,1))</f>
        <v>239.25212250019609</v>
      </c>
      <c r="DU121" s="57">
        <f t="shared" si="98"/>
        <v>213.58492101729695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403.99999999999994</v>
      </c>
      <c r="EK121" s="17">
        <f>EJ121*VLOOKUP('Données projet'!$B$15,Paramètres!$A$1:$I$89,3,0)*VLOOKUP('Données projet'!$B$15,Paramètres!$A$1:$I$89,5,0)</f>
        <v>346.63200000000001</v>
      </c>
      <c r="EL121" s="13">
        <f t="shared" si="99"/>
        <v>80.868615263336864</v>
      </c>
      <c r="EM121" s="20">
        <f t="shared" si="73"/>
        <v>744.56357158364483</v>
      </c>
      <c r="EN121" s="57">
        <f t="shared" si="74"/>
        <v>1037.8969049169782</v>
      </c>
      <c r="EO121" s="57">
        <f ca="1">AVERAGE(OFFSET($EN$3,0,0,'Données projet'!$E$15+1,1))-AVERAGE(OFFSET($H$3,0,0,'Données projet'!$E$15+1,1))</f>
        <v>447.10969593632467</v>
      </c>
      <c r="EP121" s="57">
        <f t="shared" si="100"/>
        <v>256.77417912163997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103.52054886396623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103.52054886396623</v>
      </c>
      <c r="EZ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7" t="e">
        <f t="shared" si="77"/>
        <v>#N/A</v>
      </c>
      <c r="FJ121" s="57" t="e">
        <f ca="1">AVERAGE(OFFSET($FI$3,0,0,'Données projet'!$E$16+1,1))-AVERAGE(OFFSET($H$3,0,0,'Données projet'!$E$16+1,1))</f>
        <v>#N/A</v>
      </c>
      <c r="FK121" s="57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7" t="e">
        <f t="shared" si="80"/>
        <v>#N/A</v>
      </c>
      <c r="GE121" s="57" t="e">
        <f ca="1">AVERAGE(OFFSET($GD$3,0,0,'Données projet'!$E$17+1,1))-AVERAGE(OFFSET($H$3,0,0,'Données projet'!$E$17+1,1))</f>
        <v>#N/A</v>
      </c>
      <c r="GF121" s="57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7" t="e">
        <f t="shared" si="83"/>
        <v>#N/A</v>
      </c>
      <c r="GZ121" s="57" t="e">
        <f ca="1">AVERAGE(OFFSET($GY$3,0,0,'Données projet'!$E$18+1,1))-AVERAGE(OFFSET($H$3,0,0,'Données projet'!$E$18+1,1))</f>
        <v>#N/A</v>
      </c>
      <c r="HA121" s="57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0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4">
        <f t="shared" si="56"/>
        <v>256.66666666666669</v>
      </c>
      <c r="I122" s="6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636.99999999999977</v>
      </c>
      <c r="O122" s="13">
        <f>N122*VLOOKUP('Données projet'!$B$9,Paramètres!$A$1:$I$89,3,0)*VLOOKUP('Données projet'!$B$9,Paramètres!$A$1:$I$89,5,0)</f>
        <v>356.08299999999991</v>
      </c>
      <c r="P122" s="13">
        <f t="shared" si="87"/>
        <v>82.813805255716545</v>
      </c>
      <c r="Q122" s="20">
        <f t="shared" si="107"/>
        <v>764.41193582037283</v>
      </c>
      <c r="R122" s="57">
        <f t="shared" si="55"/>
        <v>1057.7452691537062</v>
      </c>
      <c r="S122" s="57">
        <f ca="1">AVERAGE(OFFSET($R$3,0,0,'Données projet'!$E$9+1,1))-AVERAGE(OFFSET($H$3,0,0,'Données projet'!$E$9+1,1))</f>
        <v>443.34220761968419</v>
      </c>
      <c r="T122" s="57">
        <f t="shared" si="88"/>
        <v>546.58234447298014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30.379462998120683</v>
      </c>
      <c r="AA122" s="21">
        <f>EXP(-LN(2)/25)*AA121+(1-EXP(-LN(2)/25))/(LN(2)/25)*Calculateur!V122*Calculateur!X122*VLOOKUP('Données projet'!$B$9,Paramètres!$A$1:$I$89,3,0)*0.475*44/12</f>
        <v>1.8600151043083595</v>
      </c>
      <c r="AB122" s="21">
        <f>EXP(-LN(2)/2)*AB121+(1-EXP(-LN(2)/2))/(LN(2)/2)*V122*Y122*VLOOKUP('Données projet'!$B$9,Paramètres!$A$1:$I$89,3,0)*0.475*44/12</f>
        <v>2.4284619920773248E-13</v>
      </c>
      <c r="AC122" s="22">
        <f t="shared" si="57"/>
        <v>32.239478102429281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911.99999999999898</v>
      </c>
      <c r="AJ122" s="13">
        <f>AI122*VLOOKUP('Données projet'!$B$10,Paramètres!$A$1:$I$89,3,0)*VLOOKUP('Données projet'!$B$10,Paramètres!$A$1:$I$89,5,0)</f>
        <v>426.81599999999946</v>
      </c>
      <c r="AK122" s="13">
        <f t="shared" si="89"/>
        <v>97.192496986872399</v>
      </c>
      <c r="AL122" s="20">
        <f t="shared" si="58"/>
        <v>912.64813225213504</v>
      </c>
      <c r="AM122" s="57">
        <f t="shared" si="59"/>
        <v>1205.9814655854684</v>
      </c>
      <c r="AN122" s="57">
        <f ca="1">AVERAGE(OFFSET($AM$3,0,0,'Données projet'!$E$10+1,1))-AVERAGE(OFFSET($H$3,0,0,'Données projet'!$E$10+1,1))</f>
        <v>524.3999528951972</v>
      </c>
      <c r="AO122" s="57">
        <f t="shared" si="90"/>
        <v>459.3547783500515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68.653107587323447</v>
      </c>
      <c r="AV122" s="21">
        <f>EXP(-LN(2)/25)*AV121+(1-EXP(-LN(2)/25))/(LN(2)/25)*Calculateur!AQ122*Calculateur!AS122*VLOOKUP('Données projet'!$B$10,Paramètres!$A$1:$I$89,3,0)*0.475*44/12</f>
        <v>4.5311192758554588</v>
      </c>
      <c r="AW122" s="21">
        <f>EXP(-LN(2)/2)*AW121+(1-EXP(-LN(2)/2))/(LN(2)/2)*AQ122*AT122*VLOOKUP('Données projet'!$B$10,Paramètres!$A$1:$I$89,3,0)*0.475*44/12</f>
        <v>4.7921356533534898E-14</v>
      </c>
      <c r="AX122" s="21">
        <f t="shared" si="60"/>
        <v>73.184226863178949</v>
      </c>
      <c r="AY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852.00000000000011</v>
      </c>
      <c r="BE122" s="13">
        <f>BD122*VLOOKUP('Données projet'!$B$11,Paramètres!$A$1:$I$89,3,0)*VLOOKUP('Données projet'!$B$11,Paramètres!$A$1:$I$89,5,0)</f>
        <v>409.81200000000013</v>
      </c>
      <c r="BF122" s="13">
        <f t="shared" si="91"/>
        <v>93.76308331402879</v>
      </c>
      <c r="BG122" s="20">
        <f t="shared" si="61"/>
        <v>877.05993677193362</v>
      </c>
      <c r="BH122" s="57">
        <f t="shared" si="62"/>
        <v>1170.393270105267</v>
      </c>
      <c r="BI122" s="57">
        <f ca="1">AVERAGE(OFFSET($BH$3,0,0,'Données projet'!$E$11+1,1))-AVERAGE(OFFSET($H$3,0,0,'Données projet'!$E$11+1,1))</f>
        <v>495.6473104257044</v>
      </c>
      <c r="BJ122" s="57">
        <f t="shared" si="92"/>
        <v>430.92527296485201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71.519709282644001</v>
      </c>
      <c r="BQ122" s="21">
        <f>EXP(-LN(2)/25)*BQ121+(1-EXP(-LN(2)/25))/(LN(2)/25)*Calculateur!BL122*Calculateur!BN122*VLOOKUP('Données projet'!$B$11,Paramètres!$A$1:$I$89,3,0)*0.475*44/12</f>
        <v>4.2689017251693766</v>
      </c>
      <c r="BR122" s="21">
        <f>EXP(-LN(2)/2)*BR121+(1-EXP(-LN(2)/2))/(LN(2)/2)*BL122*BO122*VLOOKUP('Données projet'!$B$11,Paramètres!$A$1:$I$89,3,0)*0.475*44/12</f>
        <v>2.9414690680885044E-14</v>
      </c>
      <c r="BS122" s="22">
        <f t="shared" si="63"/>
        <v>75.788611007813401</v>
      </c>
      <c r="BT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7" t="e">
        <f t="shared" si="65"/>
        <v>#NUM!</v>
      </c>
      <c r="CD122" s="57">
        <f ca="1">AVERAGE(OFFSET($CC$3,0,0,'Données projet'!$E$12+1,1))-AVERAGE(OFFSET($H$3,0,0,'Données projet'!$E$12+1,1))</f>
        <v>187.80389738728508</v>
      </c>
      <c r="CE122" s="57">
        <f t="shared" si="94"/>
        <v>439.28159165815265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21.194606817195783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4.9604639569236989E-14</v>
      </c>
      <c r="CN122" s="22">
        <f t="shared" si="66"/>
        <v>21.194606817195833</v>
      </c>
      <c r="CO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267</v>
      </c>
      <c r="CU122" s="17">
        <f>CT122*VLOOKUP('Données projet'!$B$13,Paramètres!$A$1:$I$89,3,0)*VLOOKUP('Données projet'!$B$13,Paramètres!$A$1:$I$89,5,0)</f>
        <v>241.58159999999998</v>
      </c>
      <c r="CV122" s="13">
        <f t="shared" si="95"/>
        <v>58.779689232021951</v>
      </c>
      <c r="CW122" s="20">
        <f t="shared" si="67"/>
        <v>523.12924541243819</v>
      </c>
      <c r="CX122" s="57">
        <f t="shared" si="68"/>
        <v>816.46257874577145</v>
      </c>
      <c r="CY122" s="57">
        <f ca="1">AVERAGE(OFFSET($CX$3,0,0,'Données projet'!$E$13+1,1))-AVERAGE(OFFSET($H$3,0,0,'Données projet'!$E$13+1,1))</f>
        <v>364.3481978218424</v>
      </c>
      <c r="CZ122" s="57">
        <f t="shared" si="96"/>
        <v>231.36959598460686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69.82975843752169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69.82975843752169</v>
      </c>
      <c r="DJ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255.00000000000006</v>
      </c>
      <c r="DP122" s="17">
        <f>DO122*VLOOKUP('Données projet'!$B$14,Paramètres!$A$1:$I$89,3,0)*VLOOKUP('Données projet'!$B$14,Paramètres!$A$1:$I$89,5,0)</f>
        <v>186.96600000000004</v>
      </c>
      <c r="DQ122" s="13">
        <f t="shared" si="97"/>
        <v>46.868551400324648</v>
      </c>
      <c r="DR122" s="20">
        <f t="shared" si="70"/>
        <v>407.26184368889881</v>
      </c>
      <c r="DS122" s="57">
        <f t="shared" si="71"/>
        <v>700.59517702223206</v>
      </c>
      <c r="DT122" s="57">
        <f ca="1">AVERAGE(OFFSET($DS$3,0,0,'Données projet'!$E$14+1,1))-AVERAGE(OFFSET($H$3,0,0,'Données projet'!$E$14+1,1))</f>
        <v>239.25212250019609</v>
      </c>
      <c r="DU122" s="57">
        <f t="shared" si="98"/>
        <v>213.58492101729695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403.99999999999994</v>
      </c>
      <c r="EK122" s="17">
        <f>EJ122*VLOOKUP('Données projet'!$B$15,Paramètres!$A$1:$I$89,3,0)*VLOOKUP('Données projet'!$B$15,Paramètres!$A$1:$I$89,5,0)</f>
        <v>346.63200000000001</v>
      </c>
      <c r="EL122" s="13">
        <f t="shared" si="99"/>
        <v>80.868615263336864</v>
      </c>
      <c r="EM122" s="20">
        <f t="shared" si="73"/>
        <v>744.56357158364483</v>
      </c>
      <c r="EN122" s="57">
        <f t="shared" si="74"/>
        <v>1037.8969049169782</v>
      </c>
      <c r="EO122" s="57">
        <f ca="1">AVERAGE(OFFSET($EN$3,0,0,'Données projet'!$E$15+1,1))-AVERAGE(OFFSET($H$3,0,0,'Données projet'!$E$15+1,1))</f>
        <v>447.10969593632467</v>
      </c>
      <c r="EP122" s="57">
        <f t="shared" si="100"/>
        <v>256.77417912163997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101.49057404204397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101.49057404204397</v>
      </c>
      <c r="EZ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7" t="e">
        <f t="shared" si="77"/>
        <v>#N/A</v>
      </c>
      <c r="FJ122" s="57" t="e">
        <f ca="1">AVERAGE(OFFSET($FI$3,0,0,'Données projet'!$E$16+1,1))-AVERAGE(OFFSET($H$3,0,0,'Données projet'!$E$16+1,1))</f>
        <v>#N/A</v>
      </c>
      <c r="FK122" s="57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7" t="e">
        <f t="shared" si="80"/>
        <v>#N/A</v>
      </c>
      <c r="GE122" s="57" t="e">
        <f ca="1">AVERAGE(OFFSET($GD$3,0,0,'Données projet'!$E$17+1,1))-AVERAGE(OFFSET($H$3,0,0,'Données projet'!$E$17+1,1))</f>
        <v>#N/A</v>
      </c>
      <c r="GF122" s="57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7" t="e">
        <f t="shared" si="83"/>
        <v>#N/A</v>
      </c>
      <c r="GZ122" s="57" t="e">
        <f ca="1">AVERAGE(OFFSET($GY$3,0,0,'Données projet'!$E$18+1,1))-AVERAGE(OFFSET($H$3,0,0,'Données projet'!$E$18+1,1))</f>
        <v>#N/A</v>
      </c>
      <c r="HA122" s="57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0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4">
        <f t="shared" si="56"/>
        <v>256.66666666666669</v>
      </c>
      <c r="I123" s="6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636.99999999999977</v>
      </c>
      <c r="O123" s="13">
        <f>N123*VLOOKUP('Données projet'!$B$9,Paramètres!$A$1:$I$89,3,0)*VLOOKUP('Données projet'!$B$9,Paramètres!$A$1:$I$89,5,0)</f>
        <v>356.08299999999991</v>
      </c>
      <c r="P123" s="13">
        <f t="shared" si="87"/>
        <v>82.813805255716545</v>
      </c>
      <c r="Q123" s="20">
        <f t="shared" si="107"/>
        <v>764.41193582037283</v>
      </c>
      <c r="R123" s="57">
        <f t="shared" si="55"/>
        <v>1057.7452691537062</v>
      </c>
      <c r="S123" s="57">
        <f ca="1">AVERAGE(OFFSET($R$3,0,0,'Données projet'!$E$9+1,1))-AVERAGE(OFFSET($H$3,0,0,'Données projet'!$E$9+1,1))</f>
        <v>443.34220761968419</v>
      </c>
      <c r="T123" s="57">
        <f t="shared" si="88"/>
        <v>546.58234447298014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29.783740258370315</v>
      </c>
      <c r="AA123" s="21">
        <f>EXP(-LN(2)/25)*AA122+(1-EXP(-LN(2)/25))/(LN(2)/25)*Calculateur!V123*Calculateur!X123*VLOOKUP('Données projet'!$B$9,Paramètres!$A$1:$I$89,3,0)*0.475*44/12</f>
        <v>1.8091528934671042</v>
      </c>
      <c r="AB123" s="21">
        <f>EXP(-LN(2)/2)*AB122+(1-EXP(-LN(2)/2))/(LN(2)/2)*V123*Y123*VLOOKUP('Données projet'!$B$9,Paramètres!$A$1:$I$89,3,0)*0.475*44/12</f>
        <v>1.7171819424516682E-13</v>
      </c>
      <c r="AC123" s="22">
        <f t="shared" si="57"/>
        <v>31.59289315183759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911.99999999999898</v>
      </c>
      <c r="AJ123" s="13">
        <f>AI123*VLOOKUP('Données projet'!$B$10,Paramètres!$A$1:$I$89,3,0)*VLOOKUP('Données projet'!$B$10,Paramètres!$A$1:$I$89,5,0)</f>
        <v>426.81599999999946</v>
      </c>
      <c r="AK123" s="13">
        <f t="shared" si="89"/>
        <v>97.192496986872399</v>
      </c>
      <c r="AL123" s="20">
        <f t="shared" si="58"/>
        <v>912.64813225213504</v>
      </c>
      <c r="AM123" s="57">
        <f t="shared" si="59"/>
        <v>1205.9814655854684</v>
      </c>
      <c r="AN123" s="57">
        <f ca="1">AVERAGE(OFFSET($AM$3,0,0,'Données projet'!$E$10+1,1))-AVERAGE(OFFSET($H$3,0,0,'Données projet'!$E$10+1,1))</f>
        <v>524.3999528951972</v>
      </c>
      <c r="AO123" s="57">
        <f t="shared" si="90"/>
        <v>459.3547783500515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67.306862021796917</v>
      </c>
      <c r="AV123" s="21">
        <f>EXP(-LN(2)/25)*AV122+(1-EXP(-LN(2)/25))/(LN(2)/25)*Calculateur!AQ123*Calculateur!AS123*VLOOKUP('Données projet'!$B$10,Paramètres!$A$1:$I$89,3,0)*0.475*44/12</f>
        <v>4.4072155809759845</v>
      </c>
      <c r="AW123" s="21">
        <f>EXP(-LN(2)/2)*AW122+(1-EXP(-LN(2)/2))/(LN(2)/2)*AQ123*AT123*VLOOKUP('Données projet'!$B$10,Paramètres!$A$1:$I$89,3,0)*0.475*44/12</f>
        <v>3.388551616852079E-14</v>
      </c>
      <c r="AX123" s="21">
        <f t="shared" si="60"/>
        <v>71.714077602772932</v>
      </c>
      <c r="AY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852.00000000000011</v>
      </c>
      <c r="BE123" s="13">
        <f>BD123*VLOOKUP('Données projet'!$B$11,Paramètres!$A$1:$I$89,3,0)*VLOOKUP('Données projet'!$B$11,Paramètres!$A$1:$I$89,5,0)</f>
        <v>409.81200000000013</v>
      </c>
      <c r="BF123" s="13">
        <f t="shared" si="91"/>
        <v>93.76308331402879</v>
      </c>
      <c r="BG123" s="20">
        <f t="shared" si="61"/>
        <v>877.05993677193362</v>
      </c>
      <c r="BH123" s="57">
        <f t="shared" si="62"/>
        <v>1170.393270105267</v>
      </c>
      <c r="BI123" s="57">
        <f ca="1">AVERAGE(OFFSET($BH$3,0,0,'Données projet'!$E$11+1,1))-AVERAGE(OFFSET($H$3,0,0,'Données projet'!$E$11+1,1))</f>
        <v>495.6473104257044</v>
      </c>
      <c r="BJ123" s="57">
        <f t="shared" si="92"/>
        <v>430.92527296485201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70.117251406326631</v>
      </c>
      <c r="BQ123" s="21">
        <f>EXP(-LN(2)/25)*BQ122+(1-EXP(-LN(2)/25))/(LN(2)/25)*Calculateur!BL123*Calculateur!BN123*VLOOKUP('Données projet'!$B$11,Paramètres!$A$1:$I$89,3,0)*0.475*44/12</f>
        <v>4.1521683830028353</v>
      </c>
      <c r="BR123" s="21">
        <f>EXP(-LN(2)/2)*BR122+(1-EXP(-LN(2)/2))/(LN(2)/2)*BL123*BO123*VLOOKUP('Données projet'!$B$11,Paramètres!$A$1:$I$89,3,0)*0.475*44/12</f>
        <v>2.0799327246958559E-14</v>
      </c>
      <c r="BS123" s="22">
        <f t="shared" si="63"/>
        <v>74.269419789329476</v>
      </c>
      <c r="BT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7" t="e">
        <f t="shared" si="65"/>
        <v>#NUM!</v>
      </c>
      <c r="CD123" s="57">
        <f ca="1">AVERAGE(OFFSET($CC$3,0,0,'Données projet'!$E$12+1,1))-AVERAGE(OFFSET($H$3,0,0,'Données projet'!$E$12+1,1))</f>
        <v>187.80389738728508</v>
      </c>
      <c r="CE123" s="57">
        <f t="shared" si="94"/>
        <v>439.28159165815265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20.778993504944253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3.5075777017722016E-14</v>
      </c>
      <c r="CN123" s="22">
        <f t="shared" si="66"/>
        <v>20.778993504944289</v>
      </c>
      <c r="CO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267</v>
      </c>
      <c r="CU123" s="17">
        <f>CT123*VLOOKUP('Données projet'!$B$13,Paramètres!$A$1:$I$89,3,0)*VLOOKUP('Données projet'!$B$13,Paramètres!$A$1:$I$89,5,0)</f>
        <v>241.58159999999998</v>
      </c>
      <c r="CV123" s="13">
        <f t="shared" si="95"/>
        <v>58.779689232021951</v>
      </c>
      <c r="CW123" s="20">
        <f t="shared" si="67"/>
        <v>523.12924541243819</v>
      </c>
      <c r="CX123" s="57">
        <f t="shared" si="68"/>
        <v>816.46257874577145</v>
      </c>
      <c r="CY123" s="57">
        <f ca="1">AVERAGE(OFFSET($CX$3,0,0,'Données projet'!$E$13+1,1))-AVERAGE(OFFSET($H$3,0,0,'Données projet'!$E$13+1,1))</f>
        <v>364.3481978218424</v>
      </c>
      <c r="CZ123" s="57">
        <f t="shared" si="96"/>
        <v>231.36959598460686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68.46043946650893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68.46043946650893</v>
      </c>
      <c r="DJ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255.00000000000006</v>
      </c>
      <c r="DP123" s="17">
        <f>DO123*VLOOKUP('Données projet'!$B$14,Paramètres!$A$1:$I$89,3,0)*VLOOKUP('Données projet'!$B$14,Paramètres!$A$1:$I$89,5,0)</f>
        <v>186.96600000000004</v>
      </c>
      <c r="DQ123" s="13">
        <f t="shared" si="97"/>
        <v>46.868551400324648</v>
      </c>
      <c r="DR123" s="20">
        <f t="shared" si="70"/>
        <v>407.26184368889881</v>
      </c>
      <c r="DS123" s="57">
        <f t="shared" si="71"/>
        <v>700.59517702223206</v>
      </c>
      <c r="DT123" s="57">
        <f ca="1">AVERAGE(OFFSET($DS$3,0,0,'Données projet'!$E$14+1,1))-AVERAGE(OFFSET($H$3,0,0,'Données projet'!$E$14+1,1))</f>
        <v>239.25212250019609</v>
      </c>
      <c r="DU123" s="57">
        <f t="shared" si="98"/>
        <v>213.58492101729695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403.99999999999994</v>
      </c>
      <c r="EK123" s="17">
        <f>EJ123*VLOOKUP('Données projet'!$B$15,Paramètres!$A$1:$I$89,3,0)*VLOOKUP('Données projet'!$B$15,Paramètres!$A$1:$I$89,5,0)</f>
        <v>346.63200000000001</v>
      </c>
      <c r="EL123" s="13">
        <f t="shared" si="99"/>
        <v>80.868615263336864</v>
      </c>
      <c r="EM123" s="20">
        <f t="shared" si="73"/>
        <v>744.56357158364483</v>
      </c>
      <c r="EN123" s="57">
        <f t="shared" si="74"/>
        <v>1037.8969049169782</v>
      </c>
      <c r="EO123" s="57">
        <f ca="1">AVERAGE(OFFSET($EN$3,0,0,'Données projet'!$E$15+1,1))-AVERAGE(OFFSET($H$3,0,0,'Données projet'!$E$15+1,1))</f>
        <v>447.10969593632467</v>
      </c>
      <c r="EP123" s="57">
        <f t="shared" si="100"/>
        <v>256.77417912163997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99.500405788217236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99.500405788217236</v>
      </c>
      <c r="EZ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7" t="e">
        <f t="shared" si="77"/>
        <v>#N/A</v>
      </c>
      <c r="FJ123" s="57" t="e">
        <f ca="1">AVERAGE(OFFSET($FI$3,0,0,'Données projet'!$E$16+1,1))-AVERAGE(OFFSET($H$3,0,0,'Données projet'!$E$16+1,1))</f>
        <v>#N/A</v>
      </c>
      <c r="FK123" s="57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7" t="e">
        <f t="shared" si="80"/>
        <v>#N/A</v>
      </c>
      <c r="GE123" s="57" t="e">
        <f ca="1">AVERAGE(OFFSET($GD$3,0,0,'Données projet'!$E$17+1,1))-AVERAGE(OFFSET($H$3,0,0,'Données projet'!$E$17+1,1))</f>
        <v>#N/A</v>
      </c>
      <c r="GF123" s="57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7" t="e">
        <f t="shared" si="83"/>
        <v>#N/A</v>
      </c>
      <c r="GZ123" s="57" t="e">
        <f ca="1">AVERAGE(OFFSET($GY$3,0,0,'Données projet'!$E$18+1,1))-AVERAGE(OFFSET($H$3,0,0,'Données projet'!$E$18+1,1))</f>
        <v>#N/A</v>
      </c>
      <c r="HA123" s="57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0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4">
        <f t="shared" si="56"/>
        <v>256.66666666666669</v>
      </c>
      <c r="I124" s="6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636.99999999999977</v>
      </c>
      <c r="O124" s="13">
        <f>N124*VLOOKUP('Données projet'!$B$9,Paramètres!$A$1:$I$89,3,0)*VLOOKUP('Données projet'!$B$9,Paramètres!$A$1:$I$89,5,0)</f>
        <v>356.08299999999991</v>
      </c>
      <c r="P124" s="13">
        <f t="shared" si="87"/>
        <v>82.813805255716545</v>
      </c>
      <c r="Q124" s="20">
        <f t="shared" si="107"/>
        <v>764.41193582037283</v>
      </c>
      <c r="R124" s="57">
        <f t="shared" si="55"/>
        <v>1057.7452691537062</v>
      </c>
      <c r="S124" s="57">
        <f ca="1">AVERAGE(OFFSET($R$3,0,0,'Données projet'!$E$9+1,1))-AVERAGE(OFFSET($H$3,0,0,'Données projet'!$E$9+1,1))</f>
        <v>443.34220761968419</v>
      </c>
      <c r="T124" s="57">
        <f t="shared" si="88"/>
        <v>546.58234447298014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29.19969927819146</v>
      </c>
      <c r="AA124" s="21">
        <f>EXP(-LN(2)/25)*AA123+(1-EXP(-LN(2)/25))/(LN(2)/25)*Calculateur!V124*Calculateur!X124*VLOOKUP('Données projet'!$B$9,Paramètres!$A$1:$I$89,3,0)*0.475*44/12</f>
        <v>1.7596815124560303</v>
      </c>
      <c r="AB124" s="21">
        <f>EXP(-LN(2)/2)*AB123+(1-EXP(-LN(2)/2))/(LN(2)/2)*V124*Y124*VLOOKUP('Données projet'!$B$9,Paramètres!$A$1:$I$89,3,0)*0.475*44/12</f>
        <v>1.2142309960386624E-13</v>
      </c>
      <c r="AC124" s="22">
        <f t="shared" si="57"/>
        <v>30.959380790647611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911.99999999999898</v>
      </c>
      <c r="AJ124" s="13">
        <f>AI124*VLOOKUP('Données projet'!$B$10,Paramètres!$A$1:$I$89,3,0)*VLOOKUP('Données projet'!$B$10,Paramètres!$A$1:$I$89,5,0)</f>
        <v>426.81599999999946</v>
      </c>
      <c r="AK124" s="13">
        <f t="shared" si="89"/>
        <v>97.192496986872399</v>
      </c>
      <c r="AL124" s="20">
        <f t="shared" si="58"/>
        <v>912.64813225213504</v>
      </c>
      <c r="AM124" s="57">
        <f t="shared" si="59"/>
        <v>1205.9814655854684</v>
      </c>
      <c r="AN124" s="57">
        <f ca="1">AVERAGE(OFFSET($AM$3,0,0,'Données projet'!$E$10+1,1))-AVERAGE(OFFSET($H$3,0,0,'Données projet'!$E$10+1,1))</f>
        <v>524.3999528951972</v>
      </c>
      <c r="AO124" s="57">
        <f t="shared" si="90"/>
        <v>459.3547783500515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65.987015510681658</v>
      </c>
      <c r="AV124" s="21">
        <f>EXP(-LN(2)/25)*AV123+(1-EXP(-LN(2)/25))/(LN(2)/25)*Calculateur!AQ124*Calculateur!AS124*VLOOKUP('Données projet'!$B$10,Paramètres!$A$1:$I$89,3,0)*0.475*44/12</f>
        <v>4.2867000391488013</v>
      </c>
      <c r="AW124" s="21">
        <f>EXP(-LN(2)/2)*AW123+(1-EXP(-LN(2)/2))/(LN(2)/2)*AQ124*AT124*VLOOKUP('Données projet'!$B$10,Paramètres!$A$1:$I$89,3,0)*0.475*44/12</f>
        <v>2.3960678266767449E-14</v>
      </c>
      <c r="AX124" s="21">
        <f t="shared" si="60"/>
        <v>70.273715549830484</v>
      </c>
      <c r="AY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852.00000000000011</v>
      </c>
      <c r="BE124" s="13">
        <f>BD124*VLOOKUP('Données projet'!$B$11,Paramètres!$A$1:$I$89,3,0)*VLOOKUP('Données projet'!$B$11,Paramètres!$A$1:$I$89,5,0)</f>
        <v>409.81200000000013</v>
      </c>
      <c r="BF124" s="13">
        <f t="shared" si="91"/>
        <v>93.76308331402879</v>
      </c>
      <c r="BG124" s="20">
        <f t="shared" si="61"/>
        <v>877.05993677193362</v>
      </c>
      <c r="BH124" s="57">
        <f t="shared" si="62"/>
        <v>1170.393270105267</v>
      </c>
      <c r="BI124" s="57">
        <f ca="1">AVERAGE(OFFSET($BH$3,0,0,'Données projet'!$E$11+1,1))-AVERAGE(OFFSET($H$3,0,0,'Données projet'!$E$11+1,1))</f>
        <v>495.6473104257044</v>
      </c>
      <c r="BJ124" s="57">
        <f t="shared" si="92"/>
        <v>430.92527296485201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68.742294873549</v>
      </c>
      <c r="BQ124" s="21">
        <f>EXP(-LN(2)/25)*BQ123+(1-EXP(-LN(2)/25))/(LN(2)/25)*Calculateur!BL124*Calculateur!BN124*VLOOKUP('Données projet'!$B$11,Paramètres!$A$1:$I$89,3,0)*0.475*44/12</f>
        <v>4.0386271202165771</v>
      </c>
      <c r="BR124" s="21">
        <f>EXP(-LN(2)/2)*BR123+(1-EXP(-LN(2)/2))/(LN(2)/2)*BL124*BO124*VLOOKUP('Données projet'!$B$11,Paramètres!$A$1:$I$89,3,0)*0.475*44/12</f>
        <v>1.4707345340442522E-14</v>
      </c>
      <c r="BS124" s="22">
        <f t="shared" si="63"/>
        <v>72.780921993765588</v>
      </c>
      <c r="BT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7" t="e">
        <f t="shared" si="65"/>
        <v>#NUM!</v>
      </c>
      <c r="CD124" s="57">
        <f ca="1">AVERAGE(OFFSET($CC$3,0,0,'Données projet'!$E$12+1,1))-AVERAGE(OFFSET($H$3,0,0,'Données projet'!$E$12+1,1))</f>
        <v>187.80389738728508</v>
      </c>
      <c r="CE124" s="57">
        <f t="shared" si="94"/>
        <v>439.28159165815265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20.371530116246888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2.4802319784618495E-14</v>
      </c>
      <c r="CN124" s="22">
        <f t="shared" si="66"/>
        <v>20.371530116246912</v>
      </c>
      <c r="CO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267</v>
      </c>
      <c r="CU124" s="17">
        <f>CT124*VLOOKUP('Données projet'!$B$13,Paramètres!$A$1:$I$89,3,0)*VLOOKUP('Données projet'!$B$13,Paramètres!$A$1:$I$89,5,0)</f>
        <v>241.58159999999998</v>
      </c>
      <c r="CV124" s="13">
        <f t="shared" si="95"/>
        <v>58.779689232021951</v>
      </c>
      <c r="CW124" s="20">
        <f t="shared" si="67"/>
        <v>523.12924541243819</v>
      </c>
      <c r="CX124" s="57">
        <f t="shared" si="68"/>
        <v>816.46257874577145</v>
      </c>
      <c r="CY124" s="57">
        <f ca="1">AVERAGE(OFFSET($CX$3,0,0,'Données projet'!$E$13+1,1))-AVERAGE(OFFSET($H$3,0,0,'Données projet'!$E$13+1,1))</f>
        <v>364.3481978218424</v>
      </c>
      <c r="CZ124" s="57">
        <f t="shared" si="96"/>
        <v>231.36959598460686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67.117972005315622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67.117972005315622</v>
      </c>
      <c r="DJ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255.00000000000006</v>
      </c>
      <c r="DP124" s="17">
        <f>DO124*VLOOKUP('Données projet'!$B$14,Paramètres!$A$1:$I$89,3,0)*VLOOKUP('Données projet'!$B$14,Paramètres!$A$1:$I$89,5,0)</f>
        <v>186.96600000000004</v>
      </c>
      <c r="DQ124" s="13">
        <f t="shared" si="97"/>
        <v>46.868551400324648</v>
      </c>
      <c r="DR124" s="20">
        <f t="shared" si="70"/>
        <v>407.26184368889881</v>
      </c>
      <c r="DS124" s="57">
        <f t="shared" si="71"/>
        <v>700.59517702223206</v>
      </c>
      <c r="DT124" s="57">
        <f ca="1">AVERAGE(OFFSET($DS$3,0,0,'Données projet'!$E$14+1,1))-AVERAGE(OFFSET($H$3,0,0,'Données projet'!$E$14+1,1))</f>
        <v>239.25212250019609</v>
      </c>
      <c r="DU124" s="57">
        <f t="shared" si="98"/>
        <v>213.58492101729695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403.99999999999994</v>
      </c>
      <c r="EK124" s="17">
        <f>EJ124*VLOOKUP('Données projet'!$B$15,Paramètres!$A$1:$I$89,3,0)*VLOOKUP('Données projet'!$B$15,Paramètres!$A$1:$I$89,5,0)</f>
        <v>346.63200000000001</v>
      </c>
      <c r="EL124" s="13">
        <f t="shared" si="99"/>
        <v>80.868615263336864</v>
      </c>
      <c r="EM124" s="20">
        <f t="shared" si="73"/>
        <v>744.56357158364483</v>
      </c>
      <c r="EN124" s="57">
        <f t="shared" si="74"/>
        <v>1037.8969049169782</v>
      </c>
      <c r="EO124" s="57">
        <f ca="1">AVERAGE(OFFSET($EN$3,0,0,'Données projet'!$E$15+1,1))-AVERAGE(OFFSET($H$3,0,0,'Données projet'!$E$15+1,1))</f>
        <v>447.10969593632467</v>
      </c>
      <c r="EP124" s="57">
        <f t="shared" si="100"/>
        <v>256.77417912163997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97.549263519965265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97.549263519965265</v>
      </c>
      <c r="EZ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7" t="e">
        <f t="shared" si="77"/>
        <v>#N/A</v>
      </c>
      <c r="FJ124" s="57" t="e">
        <f ca="1">AVERAGE(OFFSET($FI$3,0,0,'Données projet'!$E$16+1,1))-AVERAGE(OFFSET($H$3,0,0,'Données projet'!$E$16+1,1))</f>
        <v>#N/A</v>
      </c>
      <c r="FK124" s="57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7" t="e">
        <f t="shared" si="80"/>
        <v>#N/A</v>
      </c>
      <c r="GE124" s="57" t="e">
        <f ca="1">AVERAGE(OFFSET($GD$3,0,0,'Données projet'!$E$17+1,1))-AVERAGE(OFFSET($H$3,0,0,'Données projet'!$E$17+1,1))</f>
        <v>#N/A</v>
      </c>
      <c r="GF124" s="57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7" t="e">
        <f t="shared" si="83"/>
        <v>#N/A</v>
      </c>
      <c r="GZ124" s="57" t="e">
        <f ca="1">AVERAGE(OFFSET($GY$3,0,0,'Données projet'!$E$18+1,1))-AVERAGE(OFFSET($H$3,0,0,'Données projet'!$E$18+1,1))</f>
        <v>#N/A</v>
      </c>
      <c r="HA124" s="57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0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4">
        <f t="shared" si="56"/>
        <v>256.66666666666669</v>
      </c>
      <c r="I125" s="6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636.99999999999977</v>
      </c>
      <c r="O125" s="13">
        <f>N125*VLOOKUP('Données projet'!$B$9,Paramètres!$A$1:$I$89,3,0)*VLOOKUP('Données projet'!$B$9,Paramètres!$A$1:$I$89,5,0)</f>
        <v>356.08299999999991</v>
      </c>
      <c r="P125" s="13">
        <f t="shared" si="87"/>
        <v>82.813805255716545</v>
      </c>
      <c r="Q125" s="20">
        <f t="shared" si="107"/>
        <v>764.41193582037283</v>
      </c>
      <c r="R125" s="57">
        <f t="shared" si="55"/>
        <v>1057.7452691537062</v>
      </c>
      <c r="S125" s="57">
        <f ca="1">AVERAGE(OFFSET($R$3,0,0,'Données projet'!$E$9+1,1))-AVERAGE(OFFSET($H$3,0,0,'Données projet'!$E$9+1,1))</f>
        <v>443.34220761968419</v>
      </c>
      <c r="T125" s="57">
        <f t="shared" si="88"/>
        <v>546.58234447298014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28.627110985404087</v>
      </c>
      <c r="AA125" s="21">
        <f>EXP(-LN(2)/25)*AA124+(1-EXP(-LN(2)/25))/(LN(2)/25)*Calculateur!V125*Calculateur!X125*VLOOKUP('Données projet'!$B$9,Paramètres!$A$1:$I$89,3,0)*0.475*44/12</f>
        <v>1.7115629289602912</v>
      </c>
      <c r="AB125" s="21">
        <f>EXP(-LN(2)/2)*AB124+(1-EXP(-LN(2)/2))/(LN(2)/2)*V125*Y125*VLOOKUP('Données projet'!$B$9,Paramètres!$A$1:$I$89,3,0)*0.475*44/12</f>
        <v>8.585909712258341E-14</v>
      </c>
      <c r="AC125" s="22">
        <f t="shared" si="57"/>
        <v>30.338673914364463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911.99999999999898</v>
      </c>
      <c r="AJ125" s="13">
        <f>AI125*VLOOKUP('Données projet'!$B$10,Paramètres!$A$1:$I$89,3,0)*VLOOKUP('Données projet'!$B$10,Paramètres!$A$1:$I$89,5,0)</f>
        <v>426.81599999999946</v>
      </c>
      <c r="AK125" s="13">
        <f t="shared" si="89"/>
        <v>97.192496986872399</v>
      </c>
      <c r="AL125" s="20">
        <f t="shared" si="58"/>
        <v>912.64813225213504</v>
      </c>
      <c r="AM125" s="57">
        <f t="shared" si="59"/>
        <v>1205.9814655854684</v>
      </c>
      <c r="AN125" s="57">
        <f ca="1">AVERAGE(OFFSET($AM$3,0,0,'Données projet'!$E$10+1,1))-AVERAGE(OFFSET($H$3,0,0,'Données projet'!$E$10+1,1))</f>
        <v>524.3999528951972</v>
      </c>
      <c r="AO125" s="57">
        <f t="shared" si="90"/>
        <v>459.3547783500515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64.693050384622481</v>
      </c>
      <c r="AV125" s="21">
        <f>EXP(-LN(2)/25)*AV124+(1-EXP(-LN(2)/25))/(LN(2)/25)*Calculateur!AQ125*Calculateur!AS125*VLOOKUP('Données projet'!$B$10,Paramètres!$A$1:$I$89,3,0)*0.475*44/12</f>
        <v>4.1694800011505198</v>
      </c>
      <c r="AW125" s="21">
        <f>EXP(-LN(2)/2)*AW124+(1-EXP(-LN(2)/2))/(LN(2)/2)*AQ125*AT125*VLOOKUP('Données projet'!$B$10,Paramètres!$A$1:$I$89,3,0)*0.475*44/12</f>
        <v>1.6942758084260395E-14</v>
      </c>
      <c r="AX125" s="21">
        <f t="shared" si="60"/>
        <v>68.862530385773013</v>
      </c>
      <c r="AY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852.00000000000011</v>
      </c>
      <c r="BE125" s="13">
        <f>BD125*VLOOKUP('Données projet'!$B$11,Paramètres!$A$1:$I$89,3,0)*VLOOKUP('Données projet'!$B$11,Paramètres!$A$1:$I$89,5,0)</f>
        <v>409.81200000000013</v>
      </c>
      <c r="BF125" s="13">
        <f t="shared" si="91"/>
        <v>93.76308331402879</v>
      </c>
      <c r="BG125" s="20">
        <f t="shared" si="61"/>
        <v>877.05993677193362</v>
      </c>
      <c r="BH125" s="57">
        <f t="shared" si="62"/>
        <v>1170.393270105267</v>
      </c>
      <c r="BI125" s="57">
        <f ca="1">AVERAGE(OFFSET($BH$3,0,0,'Données projet'!$E$11+1,1))-AVERAGE(OFFSET($H$3,0,0,'Données projet'!$E$11+1,1))</f>
        <v>495.6473104257044</v>
      </c>
      <c r="BJ125" s="57">
        <f t="shared" si="92"/>
        <v>430.92527296485201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67.394300399738469</v>
      </c>
      <c r="BQ125" s="21">
        <f>EXP(-LN(2)/25)*BQ124+(1-EXP(-LN(2)/25))/(LN(2)/25)*Calculateur!BL125*Calculateur!BN125*VLOOKUP('Données projet'!$B$11,Paramètres!$A$1:$I$89,3,0)*0.475*44/12</f>
        <v>3.9281906492320848</v>
      </c>
      <c r="BR125" s="21">
        <f>EXP(-LN(2)/2)*BR124+(1-EXP(-LN(2)/2))/(LN(2)/2)*BL125*BO125*VLOOKUP('Données projet'!$B$11,Paramètres!$A$1:$I$89,3,0)*0.475*44/12</f>
        <v>1.039966362347928E-14</v>
      </c>
      <c r="BS125" s="22">
        <f t="shared" si="63"/>
        <v>71.322491048970562</v>
      </c>
      <c r="BT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7" t="e">
        <f t="shared" si="65"/>
        <v>#NUM!</v>
      </c>
      <c r="CD125" s="57">
        <f ca="1">AVERAGE(OFFSET($CC$3,0,0,'Données projet'!$E$12+1,1))-AVERAGE(OFFSET($H$3,0,0,'Données projet'!$E$12+1,1))</f>
        <v>187.80389738728508</v>
      </c>
      <c r="CE125" s="57">
        <f t="shared" si="94"/>
        <v>439.28159165815265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19.972056836073751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1.7537888508861008E-14</v>
      </c>
      <c r="CN125" s="22">
        <f t="shared" si="66"/>
        <v>19.972056836073769</v>
      </c>
      <c r="CO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267</v>
      </c>
      <c r="CU125" s="17">
        <f>CT125*VLOOKUP('Données projet'!$B$13,Paramètres!$A$1:$I$89,3,0)*VLOOKUP('Données projet'!$B$13,Paramètres!$A$1:$I$89,5,0)</f>
        <v>241.58159999999998</v>
      </c>
      <c r="CV125" s="13">
        <f t="shared" si="95"/>
        <v>58.779689232021951</v>
      </c>
      <c r="CW125" s="20">
        <f t="shared" si="67"/>
        <v>523.12924541243819</v>
      </c>
      <c r="CX125" s="57">
        <f t="shared" si="68"/>
        <v>816.46257874577145</v>
      </c>
      <c r="CY125" s="57">
        <f ca="1">AVERAGE(OFFSET($CX$3,0,0,'Données projet'!$E$13+1,1))-AVERAGE(OFFSET($H$3,0,0,'Données projet'!$E$13+1,1))</f>
        <v>364.3481978218424</v>
      </c>
      <c r="CZ125" s="57">
        <f t="shared" si="96"/>
        <v>231.36959598460686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65.801829512212024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65.801829512212024</v>
      </c>
      <c r="DJ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255.00000000000006</v>
      </c>
      <c r="DP125" s="17">
        <f>DO125*VLOOKUP('Données projet'!$B$14,Paramètres!$A$1:$I$89,3,0)*VLOOKUP('Données projet'!$B$14,Paramètres!$A$1:$I$89,5,0)</f>
        <v>186.96600000000004</v>
      </c>
      <c r="DQ125" s="13">
        <f t="shared" si="97"/>
        <v>46.868551400324648</v>
      </c>
      <c r="DR125" s="20">
        <f t="shared" si="70"/>
        <v>407.26184368889881</v>
      </c>
      <c r="DS125" s="57">
        <f t="shared" si="71"/>
        <v>700.59517702223206</v>
      </c>
      <c r="DT125" s="57">
        <f ca="1">AVERAGE(OFFSET($DS$3,0,0,'Données projet'!$E$14+1,1))-AVERAGE(OFFSET($H$3,0,0,'Données projet'!$E$14+1,1))</f>
        <v>239.25212250019609</v>
      </c>
      <c r="DU125" s="57">
        <f t="shared" si="98"/>
        <v>213.58492101729695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403.99999999999994</v>
      </c>
      <c r="EK125" s="17">
        <f>EJ125*VLOOKUP('Données projet'!$B$15,Paramètres!$A$1:$I$89,3,0)*VLOOKUP('Données projet'!$B$15,Paramètres!$A$1:$I$89,5,0)</f>
        <v>346.63200000000001</v>
      </c>
      <c r="EL125" s="13">
        <f t="shared" si="99"/>
        <v>80.868615263336864</v>
      </c>
      <c r="EM125" s="20">
        <f t="shared" si="73"/>
        <v>744.56357158364483</v>
      </c>
      <c r="EN125" s="57">
        <f t="shared" si="74"/>
        <v>1037.8969049169782</v>
      </c>
      <c r="EO125" s="57">
        <f ca="1">AVERAGE(OFFSET($EN$3,0,0,'Données projet'!$E$15+1,1))-AVERAGE(OFFSET($H$3,0,0,'Données projet'!$E$15+1,1))</f>
        <v>447.10969593632467</v>
      </c>
      <c r="EP125" s="57">
        <f t="shared" si="100"/>
        <v>256.77417912163997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95.636381961514445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95.636381961514445</v>
      </c>
      <c r="EZ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7" t="e">
        <f t="shared" si="77"/>
        <v>#N/A</v>
      </c>
      <c r="FJ125" s="57" t="e">
        <f ca="1">AVERAGE(OFFSET($FI$3,0,0,'Données projet'!$E$16+1,1))-AVERAGE(OFFSET($H$3,0,0,'Données projet'!$E$16+1,1))</f>
        <v>#N/A</v>
      </c>
      <c r="FK125" s="57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7" t="e">
        <f t="shared" si="80"/>
        <v>#N/A</v>
      </c>
      <c r="GE125" s="57" t="e">
        <f ca="1">AVERAGE(OFFSET($GD$3,0,0,'Données projet'!$E$17+1,1))-AVERAGE(OFFSET($H$3,0,0,'Données projet'!$E$17+1,1))</f>
        <v>#N/A</v>
      </c>
      <c r="GF125" s="57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7" t="e">
        <f t="shared" si="83"/>
        <v>#N/A</v>
      </c>
      <c r="GZ125" s="57" t="e">
        <f ca="1">AVERAGE(OFFSET($GY$3,0,0,'Données projet'!$E$18+1,1))-AVERAGE(OFFSET($H$3,0,0,'Données projet'!$E$18+1,1))</f>
        <v>#N/A</v>
      </c>
      <c r="HA125" s="57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0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4">
        <f t="shared" si="56"/>
        <v>256.66666666666669</v>
      </c>
      <c r="I126" s="6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636.99999999999977</v>
      </c>
      <c r="O126" s="13">
        <f>N126*VLOOKUP('Données projet'!$B$9,Paramètres!$A$1:$I$89,3,0)*VLOOKUP('Données projet'!$B$9,Paramètres!$A$1:$I$89,5,0)</f>
        <v>356.08299999999991</v>
      </c>
      <c r="P126" s="13">
        <f t="shared" si="87"/>
        <v>82.813805255716545</v>
      </c>
      <c r="Q126" s="20">
        <f t="shared" si="107"/>
        <v>764.41193582037283</v>
      </c>
      <c r="R126" s="57">
        <f t="shared" si="55"/>
        <v>1057.7452691537062</v>
      </c>
      <c r="S126" s="57">
        <f ca="1">AVERAGE(OFFSET($R$3,0,0,'Données projet'!$E$9+1,1))-AVERAGE(OFFSET($H$3,0,0,'Données projet'!$E$9+1,1))</f>
        <v>443.34220761968419</v>
      </c>
      <c r="T126" s="57">
        <f t="shared" si="88"/>
        <v>546.58234447298014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28.065750799793904</v>
      </c>
      <c r="AA126" s="21">
        <f>EXP(-LN(2)/25)*AA125+(1-EXP(-LN(2)/25))/(LN(2)/25)*Calculateur!V126*Calculateur!X126*VLOOKUP('Données projet'!$B$9,Paramètres!$A$1:$I$89,3,0)*0.475*44/12</f>
        <v>1.6647601506606895</v>
      </c>
      <c r="AB126" s="21">
        <f>EXP(-LN(2)/2)*AB125+(1-EXP(-LN(2)/2))/(LN(2)/2)*V126*Y126*VLOOKUP('Données projet'!$B$9,Paramètres!$A$1:$I$89,3,0)*0.475*44/12</f>
        <v>6.0711549801933119E-14</v>
      </c>
      <c r="AC126" s="22">
        <f t="shared" si="57"/>
        <v>29.730510950454654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911.99999999999898</v>
      </c>
      <c r="AJ126" s="13">
        <f>AI126*VLOOKUP('Données projet'!$B$10,Paramètres!$A$1:$I$89,3,0)*VLOOKUP('Données projet'!$B$10,Paramètres!$A$1:$I$89,5,0)</f>
        <v>426.81599999999946</v>
      </c>
      <c r="AK126" s="13">
        <f t="shared" si="89"/>
        <v>97.192496986872399</v>
      </c>
      <c r="AL126" s="20">
        <f t="shared" si="58"/>
        <v>912.64813225213504</v>
      </c>
      <c r="AM126" s="57">
        <f t="shared" si="59"/>
        <v>1205.9814655854684</v>
      </c>
      <c r="AN126" s="57">
        <f ca="1">AVERAGE(OFFSET($AM$3,0,0,'Données projet'!$E$10+1,1))-AVERAGE(OFFSET($H$3,0,0,'Données projet'!$E$10+1,1))</f>
        <v>524.3999528951972</v>
      </c>
      <c r="AO126" s="57">
        <f t="shared" si="90"/>
        <v>459.3547783500515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63.424459125444528</v>
      </c>
      <c r="AV126" s="21">
        <f>EXP(-LN(2)/25)*AV125+(1-EXP(-LN(2)/25))/(LN(2)/25)*Calculateur!AQ126*Calculateur!AS126*VLOOKUP('Données projet'!$B$10,Paramètres!$A$1:$I$89,3,0)*0.475*44/12</f>
        <v>4.0554653512556351</v>
      </c>
      <c r="AW126" s="21">
        <f>EXP(-LN(2)/2)*AW125+(1-EXP(-LN(2)/2))/(LN(2)/2)*AQ126*AT126*VLOOKUP('Données projet'!$B$10,Paramètres!$A$1:$I$89,3,0)*0.475*44/12</f>
        <v>1.1980339133383724E-14</v>
      </c>
      <c r="AX126" s="21">
        <f t="shared" si="60"/>
        <v>67.479924476700177</v>
      </c>
      <c r="AY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852.00000000000011</v>
      </c>
      <c r="BE126" s="13">
        <f>BD126*VLOOKUP('Données projet'!$B$11,Paramètres!$A$1:$I$89,3,0)*VLOOKUP('Données projet'!$B$11,Paramètres!$A$1:$I$89,5,0)</f>
        <v>409.81200000000013</v>
      </c>
      <c r="BF126" s="13">
        <f t="shared" si="91"/>
        <v>93.76308331402879</v>
      </c>
      <c r="BG126" s="20">
        <f t="shared" si="61"/>
        <v>877.05993677193362</v>
      </c>
      <c r="BH126" s="57">
        <f t="shared" si="62"/>
        <v>1170.393270105267</v>
      </c>
      <c r="BI126" s="57">
        <f ca="1">AVERAGE(OFFSET($BH$3,0,0,'Données projet'!$E$11+1,1))-AVERAGE(OFFSET($H$3,0,0,'Données projet'!$E$11+1,1))</f>
        <v>495.6473104257044</v>
      </c>
      <c r="BJ126" s="57">
        <f t="shared" si="92"/>
        <v>430.92527296485201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66.072739275363915</v>
      </c>
      <c r="BQ126" s="21">
        <f>EXP(-LN(2)/25)*BQ125+(1-EXP(-LN(2)/25))/(LN(2)/25)*Calculateur!BL126*Calculateur!BN126*VLOOKUP('Données projet'!$B$11,Paramètres!$A$1:$I$89,3,0)*0.475*44/12</f>
        <v>3.8207740693542651</v>
      </c>
      <c r="BR126" s="21">
        <f>EXP(-LN(2)/2)*BR125+(1-EXP(-LN(2)/2))/(LN(2)/2)*BL126*BO126*VLOOKUP('Données projet'!$B$11,Paramètres!$A$1:$I$89,3,0)*0.475*44/12</f>
        <v>7.353672670221261E-15</v>
      </c>
      <c r="BS126" s="22">
        <f t="shared" si="63"/>
        <v>69.893513344718201</v>
      </c>
      <c r="BT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7" t="e">
        <f t="shared" si="65"/>
        <v>#NUM!</v>
      </c>
      <c r="CD126" s="57">
        <f ca="1">AVERAGE(OFFSET($CC$3,0,0,'Données projet'!$E$12+1,1))-AVERAGE(OFFSET($H$3,0,0,'Données projet'!$E$12+1,1))</f>
        <v>187.80389738728508</v>
      </c>
      <c r="CE126" s="57">
        <f t="shared" si="94"/>
        <v>439.28159165815265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19.580416983270165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1.2401159892309247E-14</v>
      </c>
      <c r="CN126" s="22">
        <f t="shared" si="66"/>
        <v>19.580416983270176</v>
      </c>
      <c r="CO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267</v>
      </c>
      <c r="CU126" s="17">
        <f>CT126*VLOOKUP('Données projet'!$B$13,Paramètres!$A$1:$I$89,3,0)*VLOOKUP('Données projet'!$B$13,Paramètres!$A$1:$I$89,5,0)</f>
        <v>241.58159999999998</v>
      </c>
      <c r="CV126" s="13">
        <f t="shared" si="95"/>
        <v>58.779689232021951</v>
      </c>
      <c r="CW126" s="20">
        <f t="shared" si="67"/>
        <v>523.12924541243819</v>
      </c>
      <c r="CX126" s="57">
        <f t="shared" si="68"/>
        <v>816.46257874577145</v>
      </c>
      <c r="CY126" s="57">
        <f ca="1">AVERAGE(OFFSET($CX$3,0,0,'Données projet'!$E$13+1,1))-AVERAGE(OFFSET($H$3,0,0,'Données projet'!$E$13+1,1))</f>
        <v>364.3481978218424</v>
      </c>
      <c r="CZ126" s="57">
        <f t="shared" si="96"/>
        <v>231.36959598460686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64.511495770630532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64.511495770630532</v>
      </c>
      <c r="DJ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255.00000000000006</v>
      </c>
      <c r="DP126" s="17">
        <f>DO126*VLOOKUP('Données projet'!$B$14,Paramètres!$A$1:$I$89,3,0)*VLOOKUP('Données projet'!$B$14,Paramètres!$A$1:$I$89,5,0)</f>
        <v>186.96600000000004</v>
      </c>
      <c r="DQ126" s="13">
        <f t="shared" si="97"/>
        <v>46.868551400324648</v>
      </c>
      <c r="DR126" s="20">
        <f t="shared" si="70"/>
        <v>407.26184368889881</v>
      </c>
      <c r="DS126" s="57">
        <f t="shared" si="71"/>
        <v>700.59517702223206</v>
      </c>
      <c r="DT126" s="57">
        <f ca="1">AVERAGE(OFFSET($DS$3,0,0,'Données projet'!$E$14+1,1))-AVERAGE(OFFSET($H$3,0,0,'Données projet'!$E$14+1,1))</f>
        <v>239.25212250019609</v>
      </c>
      <c r="DU126" s="57">
        <f t="shared" si="98"/>
        <v>213.58492101729695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403.99999999999994</v>
      </c>
      <c r="EK126" s="17">
        <f>EJ126*VLOOKUP('Données projet'!$B$15,Paramètres!$A$1:$I$89,3,0)*VLOOKUP('Données projet'!$B$15,Paramètres!$A$1:$I$89,5,0)</f>
        <v>346.63200000000001</v>
      </c>
      <c r="EL126" s="13">
        <f t="shared" si="99"/>
        <v>80.868615263336864</v>
      </c>
      <c r="EM126" s="20">
        <f t="shared" si="73"/>
        <v>744.56357158364483</v>
      </c>
      <c r="EN126" s="57">
        <f t="shared" si="74"/>
        <v>1037.8969049169782</v>
      </c>
      <c r="EO126" s="57">
        <f ca="1">AVERAGE(OFFSET($EN$3,0,0,'Données projet'!$E$15+1,1))-AVERAGE(OFFSET($H$3,0,0,'Données projet'!$E$15+1,1))</f>
        <v>447.10969593632467</v>
      </c>
      <c r="EP126" s="57">
        <f t="shared" si="100"/>
        <v>256.77417912163997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93.7610108436823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93.7610108436823</v>
      </c>
      <c r="EZ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7" t="e">
        <f t="shared" si="77"/>
        <v>#N/A</v>
      </c>
      <c r="FJ126" s="57" t="e">
        <f ca="1">AVERAGE(OFFSET($FI$3,0,0,'Données projet'!$E$16+1,1))-AVERAGE(OFFSET($H$3,0,0,'Données projet'!$E$16+1,1))</f>
        <v>#N/A</v>
      </c>
      <c r="FK126" s="57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7" t="e">
        <f t="shared" si="80"/>
        <v>#N/A</v>
      </c>
      <c r="GE126" s="57" t="e">
        <f ca="1">AVERAGE(OFFSET($GD$3,0,0,'Données projet'!$E$17+1,1))-AVERAGE(OFFSET($H$3,0,0,'Données projet'!$E$17+1,1))</f>
        <v>#N/A</v>
      </c>
      <c r="GF126" s="57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7" t="e">
        <f t="shared" si="83"/>
        <v>#N/A</v>
      </c>
      <c r="GZ126" s="57" t="e">
        <f ca="1">AVERAGE(OFFSET($GY$3,0,0,'Données projet'!$E$18+1,1))-AVERAGE(OFFSET($H$3,0,0,'Données projet'!$E$18+1,1))</f>
        <v>#N/A</v>
      </c>
      <c r="HA126" s="57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0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4">
        <f t="shared" si="56"/>
        <v>256.66666666666669</v>
      </c>
      <c r="I127" s="6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636.99999999999977</v>
      </c>
      <c r="O127" s="13">
        <f>N127*VLOOKUP('Données projet'!$B$9,Paramètres!$A$1:$I$89,3,0)*VLOOKUP('Données projet'!$B$9,Paramètres!$A$1:$I$89,5,0)</f>
        <v>356.08299999999991</v>
      </c>
      <c r="P127" s="13">
        <f t="shared" si="87"/>
        <v>82.813805255716545</v>
      </c>
      <c r="Q127" s="20">
        <f t="shared" si="107"/>
        <v>764.41193582037283</v>
      </c>
      <c r="R127" s="57">
        <f t="shared" si="55"/>
        <v>1057.7452691537062</v>
      </c>
      <c r="S127" s="57">
        <f ca="1">AVERAGE(OFFSET($R$3,0,0,'Données projet'!$E$9+1,1))-AVERAGE(OFFSET($H$3,0,0,'Données projet'!$E$9+1,1))</f>
        <v>443.34220761968419</v>
      </c>
      <c r="T127" s="57">
        <f t="shared" si="88"/>
        <v>546.58234447298014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27.515398545027629</v>
      </c>
      <c r="AA127" s="21">
        <f>EXP(-LN(2)/25)*AA126+(1-EXP(-LN(2)/25))/(LN(2)/25)*Calculateur!V127*Calculateur!X127*VLOOKUP('Données projet'!$B$9,Paramètres!$A$1:$I$89,3,0)*0.475*44/12</f>
        <v>1.6192371967949415</v>
      </c>
      <c r="AB127" s="21">
        <f>EXP(-LN(2)/2)*AB126+(1-EXP(-LN(2)/2))/(LN(2)/2)*V127*Y127*VLOOKUP('Données projet'!$B$9,Paramètres!$A$1:$I$89,3,0)*0.475*44/12</f>
        <v>4.2929548561291705E-14</v>
      </c>
      <c r="AC127" s="22">
        <f t="shared" si="57"/>
        <v>29.134635741822613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911.99999999999898</v>
      </c>
      <c r="AJ127" s="13">
        <f>AI127*VLOOKUP('Données projet'!$B$10,Paramètres!$A$1:$I$89,3,0)*VLOOKUP('Données projet'!$B$10,Paramètres!$A$1:$I$89,5,0)</f>
        <v>426.81599999999946</v>
      </c>
      <c r="AK127" s="13">
        <f t="shared" si="89"/>
        <v>97.192496986872399</v>
      </c>
      <c r="AL127" s="20">
        <f t="shared" si="58"/>
        <v>912.64813225213504</v>
      </c>
      <c r="AM127" s="57">
        <f t="shared" si="59"/>
        <v>1205.9814655854684</v>
      </c>
      <c r="AN127" s="57">
        <f ca="1">AVERAGE(OFFSET($AM$3,0,0,'Données projet'!$E$10+1,1))-AVERAGE(OFFSET($H$3,0,0,'Données projet'!$E$10+1,1))</f>
        <v>524.3999528951972</v>
      </c>
      <c r="AO127" s="57">
        <f t="shared" si="90"/>
        <v>459.3547783500515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62.180744167094794</v>
      </c>
      <c r="AV127" s="21">
        <f>EXP(-LN(2)/25)*AV126+(1-EXP(-LN(2)/25))/(LN(2)/25)*Calculateur!AQ127*Calculateur!AS127*VLOOKUP('Données projet'!$B$10,Paramètres!$A$1:$I$89,3,0)*0.475*44/12</f>
        <v>3.944568437957896</v>
      </c>
      <c r="AW127" s="21">
        <f>EXP(-LN(2)/2)*AW126+(1-EXP(-LN(2)/2))/(LN(2)/2)*AQ127*AT127*VLOOKUP('Données projet'!$B$10,Paramètres!$A$1:$I$89,3,0)*0.475*44/12</f>
        <v>8.4713790421301976E-15</v>
      </c>
      <c r="AX127" s="21">
        <f t="shared" si="60"/>
        <v>66.125312605052699</v>
      </c>
      <c r="AY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852.00000000000011</v>
      </c>
      <c r="BE127" s="13">
        <f>BD127*VLOOKUP('Données projet'!$B$11,Paramètres!$A$1:$I$89,3,0)*VLOOKUP('Données projet'!$B$11,Paramètres!$A$1:$I$89,5,0)</f>
        <v>409.81200000000013</v>
      </c>
      <c r="BF127" s="13">
        <f t="shared" si="91"/>
        <v>93.76308331402879</v>
      </c>
      <c r="BG127" s="20">
        <f t="shared" si="61"/>
        <v>877.05993677193362</v>
      </c>
      <c r="BH127" s="57">
        <f t="shared" si="62"/>
        <v>1170.393270105267</v>
      </c>
      <c r="BI127" s="57">
        <f ca="1">AVERAGE(OFFSET($BH$3,0,0,'Données projet'!$E$11+1,1))-AVERAGE(OFFSET($H$3,0,0,'Données projet'!$E$11+1,1))</f>
        <v>495.6473104257044</v>
      </c>
      <c r="BJ127" s="57">
        <f t="shared" si="92"/>
        <v>430.92527296485201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64.777093158565648</v>
      </c>
      <c r="BQ127" s="21">
        <f>EXP(-LN(2)/25)*BQ126+(1-EXP(-LN(2)/25))/(LN(2)/25)*Calculateur!BL127*Calculateur!BN127*VLOOKUP('Données projet'!$B$11,Paramètres!$A$1:$I$89,3,0)*0.475*44/12</f>
        <v>3.7162948015019968</v>
      </c>
      <c r="BR127" s="21">
        <f>EXP(-LN(2)/2)*BR126+(1-EXP(-LN(2)/2))/(LN(2)/2)*BL127*BO127*VLOOKUP('Données projet'!$B$11,Paramètres!$A$1:$I$89,3,0)*0.475*44/12</f>
        <v>5.1998318117396398E-15</v>
      </c>
      <c r="BS127" s="22">
        <f t="shared" si="63"/>
        <v>68.493387960067651</v>
      </c>
      <c r="BT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7" t="e">
        <f t="shared" si="65"/>
        <v>#NUM!</v>
      </c>
      <c r="CD127" s="57">
        <f ca="1">AVERAGE(OFFSET($CC$3,0,0,'Données projet'!$E$12+1,1))-AVERAGE(OFFSET($H$3,0,0,'Données projet'!$E$12+1,1))</f>
        <v>187.80389738728508</v>
      </c>
      <c r="CE127" s="57">
        <f t="shared" si="94"/>
        <v>439.28159165815265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19.196456949103336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8.768944254430504E-15</v>
      </c>
      <c r="CN127" s="22">
        <f t="shared" si="66"/>
        <v>19.196456949103343</v>
      </c>
      <c r="CO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267</v>
      </c>
      <c r="CU127" s="17">
        <f>CT127*VLOOKUP('Données projet'!$B$13,Paramètres!$A$1:$I$89,3,0)*VLOOKUP('Données projet'!$B$13,Paramètres!$A$1:$I$89,5,0)</f>
        <v>241.58159999999998</v>
      </c>
      <c r="CV127" s="13">
        <f t="shared" si="95"/>
        <v>58.779689232021951</v>
      </c>
      <c r="CW127" s="20">
        <f t="shared" si="67"/>
        <v>523.12924541243819</v>
      </c>
      <c r="CX127" s="57">
        <f t="shared" si="68"/>
        <v>816.46257874577145</v>
      </c>
      <c r="CY127" s="57">
        <f ca="1">AVERAGE(OFFSET($CX$3,0,0,'Données projet'!$E$13+1,1))-AVERAGE(OFFSET($H$3,0,0,'Données projet'!$E$13+1,1))</f>
        <v>364.3481978218424</v>
      </c>
      <c r="CZ127" s="57">
        <f t="shared" si="96"/>
        <v>231.36959598460686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63.246464686695582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63.246464686695582</v>
      </c>
      <c r="DJ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255.00000000000006</v>
      </c>
      <c r="DP127" s="17">
        <f>DO127*VLOOKUP('Données projet'!$B$14,Paramètres!$A$1:$I$89,3,0)*VLOOKUP('Données projet'!$B$14,Paramètres!$A$1:$I$89,5,0)</f>
        <v>186.96600000000004</v>
      </c>
      <c r="DQ127" s="13">
        <f t="shared" si="97"/>
        <v>46.868551400324648</v>
      </c>
      <c r="DR127" s="20">
        <f t="shared" si="70"/>
        <v>407.26184368889881</v>
      </c>
      <c r="DS127" s="57">
        <f t="shared" si="71"/>
        <v>700.59517702223206</v>
      </c>
      <c r="DT127" s="57">
        <f ca="1">AVERAGE(OFFSET($DS$3,0,0,'Données projet'!$E$14+1,1))-AVERAGE(OFFSET($H$3,0,0,'Données projet'!$E$14+1,1))</f>
        <v>239.25212250019609</v>
      </c>
      <c r="DU127" s="57">
        <f t="shared" si="98"/>
        <v>213.58492101729695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403.99999999999994</v>
      </c>
      <c r="EK127" s="17">
        <f>EJ127*VLOOKUP('Données projet'!$B$15,Paramètres!$A$1:$I$89,3,0)*VLOOKUP('Données projet'!$B$15,Paramètres!$A$1:$I$89,5,0)</f>
        <v>346.63200000000001</v>
      </c>
      <c r="EL127" s="13">
        <f t="shared" si="99"/>
        <v>80.868615263336864</v>
      </c>
      <c r="EM127" s="20">
        <f t="shared" si="73"/>
        <v>744.56357158364483</v>
      </c>
      <c r="EN127" s="57">
        <f t="shared" si="74"/>
        <v>1037.8969049169782</v>
      </c>
      <c r="EO127" s="57">
        <f ca="1">AVERAGE(OFFSET($EN$3,0,0,'Données projet'!$E$15+1,1))-AVERAGE(OFFSET($H$3,0,0,'Données projet'!$E$15+1,1))</f>
        <v>447.10969593632467</v>
      </c>
      <c r="EP127" s="57">
        <f t="shared" si="100"/>
        <v>256.77417912163997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91.922414609607401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91.922414609607401</v>
      </c>
      <c r="EZ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7" t="e">
        <f t="shared" si="77"/>
        <v>#N/A</v>
      </c>
      <c r="FJ127" s="57" t="e">
        <f ca="1">AVERAGE(OFFSET($FI$3,0,0,'Données projet'!$E$16+1,1))-AVERAGE(OFFSET($H$3,0,0,'Données projet'!$E$16+1,1))</f>
        <v>#N/A</v>
      </c>
      <c r="FK127" s="57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7" t="e">
        <f t="shared" si="80"/>
        <v>#N/A</v>
      </c>
      <c r="GE127" s="57" t="e">
        <f ca="1">AVERAGE(OFFSET($GD$3,0,0,'Données projet'!$E$17+1,1))-AVERAGE(OFFSET($H$3,0,0,'Données projet'!$E$17+1,1))</f>
        <v>#N/A</v>
      </c>
      <c r="GF127" s="57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7" t="e">
        <f t="shared" si="83"/>
        <v>#N/A</v>
      </c>
      <c r="GZ127" s="57" t="e">
        <f ca="1">AVERAGE(OFFSET($GY$3,0,0,'Données projet'!$E$18+1,1))-AVERAGE(OFFSET($H$3,0,0,'Données projet'!$E$18+1,1))</f>
        <v>#N/A</v>
      </c>
      <c r="HA127" s="57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0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4">
        <f t="shared" si="56"/>
        <v>256.66666666666669</v>
      </c>
      <c r="I128" s="6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636.99999999999977</v>
      </c>
      <c r="O128" s="13">
        <f>N128*VLOOKUP('Données projet'!$B$9,Paramètres!$A$1:$I$89,3,0)*VLOOKUP('Données projet'!$B$9,Paramètres!$A$1:$I$89,5,0)</f>
        <v>356.08299999999991</v>
      </c>
      <c r="P128" s="13">
        <f t="shared" si="87"/>
        <v>82.813805255716545</v>
      </c>
      <c r="Q128" s="20">
        <f t="shared" si="107"/>
        <v>764.41193582037283</v>
      </c>
      <c r="R128" s="57">
        <f t="shared" si="55"/>
        <v>1057.7452691537062</v>
      </c>
      <c r="S128" s="57">
        <f ca="1">AVERAGE(OFFSET($R$3,0,0,'Données projet'!$E$9+1,1))-AVERAGE(OFFSET($H$3,0,0,'Données projet'!$E$9+1,1))</f>
        <v>443.34220761968419</v>
      </c>
      <c r="T128" s="57">
        <f t="shared" si="88"/>
        <v>546.58234447298014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26.975838362295594</v>
      </c>
      <c r="AA128" s="21">
        <f>EXP(-LN(2)/25)*AA127+(1-EXP(-LN(2)/25))/(LN(2)/25)*Calculateur!V128*Calculateur!X128*VLOOKUP('Données projet'!$B$9,Paramètres!$A$1:$I$89,3,0)*0.475*44/12</f>
        <v>1.5749590704966006</v>
      </c>
      <c r="AB128" s="21">
        <f>EXP(-LN(2)/2)*AB127+(1-EXP(-LN(2)/2))/(LN(2)/2)*V128*Y128*VLOOKUP('Données projet'!$B$9,Paramètres!$A$1:$I$89,3,0)*0.475*44/12</f>
        <v>3.0355774900966559E-14</v>
      </c>
      <c r="AC128" s="22">
        <f t="shared" si="57"/>
        <v>28.550797432792226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911.99999999999898</v>
      </c>
      <c r="AJ128" s="13">
        <f>AI128*VLOOKUP('Données projet'!$B$10,Paramètres!$A$1:$I$89,3,0)*VLOOKUP('Données projet'!$B$10,Paramètres!$A$1:$I$89,5,0)</f>
        <v>426.81599999999946</v>
      </c>
      <c r="AK128" s="13">
        <f t="shared" si="89"/>
        <v>97.192496986872399</v>
      </c>
      <c r="AL128" s="20">
        <f t="shared" si="58"/>
        <v>912.64813225213504</v>
      </c>
      <c r="AM128" s="57">
        <f t="shared" si="59"/>
        <v>1205.9814655854684</v>
      </c>
      <c r="AN128" s="57">
        <f ca="1">AVERAGE(OFFSET($AM$3,0,0,'Données projet'!$E$10+1,1))-AVERAGE(OFFSET($H$3,0,0,'Données projet'!$E$10+1,1))</f>
        <v>524.3999528951972</v>
      </c>
      <c r="AO128" s="57">
        <f t="shared" si="90"/>
        <v>459.3547783500515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60.961417700487075</v>
      </c>
      <c r="AV128" s="21">
        <f>EXP(-LN(2)/25)*AV127+(1-EXP(-LN(2)/25))/(LN(2)/25)*Calculateur!AQ128*Calculateur!AS128*VLOOKUP('Données projet'!$B$10,Paramètres!$A$1:$I$89,3,0)*0.475*44/12</f>
        <v>3.8367040065860984</v>
      </c>
      <c r="AW128" s="21">
        <f>EXP(-LN(2)/2)*AW127+(1-EXP(-LN(2)/2))/(LN(2)/2)*AQ128*AT128*VLOOKUP('Données projet'!$B$10,Paramètres!$A$1:$I$89,3,0)*0.475*44/12</f>
        <v>5.9901695666918622E-15</v>
      </c>
      <c r="AX128" s="21">
        <f t="shared" si="60"/>
        <v>64.798121707073179</v>
      </c>
      <c r="AY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852.00000000000011</v>
      </c>
      <c r="BE128" s="13">
        <f>BD128*VLOOKUP('Données projet'!$B$11,Paramètres!$A$1:$I$89,3,0)*VLOOKUP('Données projet'!$B$11,Paramètres!$A$1:$I$89,5,0)</f>
        <v>409.81200000000013</v>
      </c>
      <c r="BF128" s="13">
        <f t="shared" si="91"/>
        <v>93.76308331402879</v>
      </c>
      <c r="BG128" s="20">
        <f t="shared" si="61"/>
        <v>877.05993677193362</v>
      </c>
      <c r="BH128" s="57">
        <f t="shared" si="62"/>
        <v>1170.393270105267</v>
      </c>
      <c r="BI128" s="57">
        <f ca="1">AVERAGE(OFFSET($BH$3,0,0,'Données projet'!$E$11+1,1))-AVERAGE(OFFSET($H$3,0,0,'Données projet'!$E$11+1,1))</f>
        <v>495.6473104257044</v>
      </c>
      <c r="BJ128" s="57">
        <f t="shared" si="92"/>
        <v>430.92527296485201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63.506853871851703</v>
      </c>
      <c r="BQ128" s="21">
        <f>EXP(-LN(2)/25)*BQ127+(1-EXP(-LN(2)/25))/(LN(2)/25)*Calculateur!BL128*Calculateur!BN128*VLOOKUP('Données projet'!$B$11,Paramètres!$A$1:$I$89,3,0)*0.475*44/12</f>
        <v>3.6146725247234746</v>
      </c>
      <c r="BR128" s="21">
        <f>EXP(-LN(2)/2)*BR127+(1-EXP(-LN(2)/2))/(LN(2)/2)*BL128*BO128*VLOOKUP('Données projet'!$B$11,Paramètres!$A$1:$I$89,3,0)*0.475*44/12</f>
        <v>3.6768363351106305E-15</v>
      </c>
      <c r="BS128" s="22">
        <f t="shared" si="63"/>
        <v>67.121526396575177</v>
      </c>
      <c r="BT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7" t="e">
        <f t="shared" si="65"/>
        <v>#NUM!</v>
      </c>
      <c r="CD128" s="57">
        <f ca="1">AVERAGE(OFFSET($CC$3,0,0,'Données projet'!$E$12+1,1))-AVERAGE(OFFSET($H$3,0,0,'Données projet'!$E$12+1,1))</f>
        <v>187.80389738728508</v>
      </c>
      <c r="CE128" s="57">
        <f t="shared" si="94"/>
        <v>439.28159165815265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18.820026137014022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6.2005799461546236E-15</v>
      </c>
      <c r="CN128" s="22">
        <f t="shared" si="66"/>
        <v>18.820026137014029</v>
      </c>
      <c r="CO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267</v>
      </c>
      <c r="CU128" s="17">
        <f>CT128*VLOOKUP('Données projet'!$B$13,Paramètres!$A$1:$I$89,3,0)*VLOOKUP('Données projet'!$B$13,Paramètres!$A$1:$I$89,5,0)</f>
        <v>241.58159999999998</v>
      </c>
      <c r="CV128" s="13">
        <f t="shared" si="95"/>
        <v>58.779689232021951</v>
      </c>
      <c r="CW128" s="20">
        <f t="shared" si="67"/>
        <v>523.12924541243819</v>
      </c>
      <c r="CX128" s="57">
        <f t="shared" si="68"/>
        <v>816.46257874577145</v>
      </c>
      <c r="CY128" s="57">
        <f ca="1">AVERAGE(OFFSET($CX$3,0,0,'Données projet'!$E$13+1,1))-AVERAGE(OFFSET($H$3,0,0,'Données projet'!$E$13+1,1))</f>
        <v>364.3481978218424</v>
      </c>
      <c r="CZ128" s="57">
        <f t="shared" si="96"/>
        <v>231.36959598460686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62.006240090723821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62.006240090723821</v>
      </c>
      <c r="DJ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255.00000000000006</v>
      </c>
      <c r="DP128" s="17">
        <f>DO128*VLOOKUP('Données projet'!$B$14,Paramètres!$A$1:$I$89,3,0)*VLOOKUP('Données projet'!$B$14,Paramètres!$A$1:$I$89,5,0)</f>
        <v>186.96600000000004</v>
      </c>
      <c r="DQ128" s="13">
        <f t="shared" si="97"/>
        <v>46.868551400324648</v>
      </c>
      <c r="DR128" s="20">
        <f t="shared" si="70"/>
        <v>407.26184368889881</v>
      </c>
      <c r="DS128" s="57">
        <f t="shared" si="71"/>
        <v>700.59517702223206</v>
      </c>
      <c r="DT128" s="57">
        <f ca="1">AVERAGE(OFFSET($DS$3,0,0,'Données projet'!$E$14+1,1))-AVERAGE(OFFSET($H$3,0,0,'Données projet'!$E$14+1,1))</f>
        <v>239.25212250019609</v>
      </c>
      <c r="DU128" s="57">
        <f t="shared" si="98"/>
        <v>213.58492101729695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403.99999999999994</v>
      </c>
      <c r="EK128" s="17">
        <f>EJ128*VLOOKUP('Données projet'!$B$15,Paramètres!$A$1:$I$89,3,0)*VLOOKUP('Données projet'!$B$15,Paramètres!$A$1:$I$89,5,0)</f>
        <v>346.63200000000001</v>
      </c>
      <c r="EL128" s="13">
        <f t="shared" si="99"/>
        <v>80.868615263336864</v>
      </c>
      <c r="EM128" s="20">
        <f t="shared" si="73"/>
        <v>744.56357158364483</v>
      </c>
      <c r="EN128" s="57">
        <f t="shared" si="74"/>
        <v>1037.8969049169782</v>
      </c>
      <c r="EO128" s="57">
        <f ca="1">AVERAGE(OFFSET($EN$3,0,0,'Données projet'!$E$15+1,1))-AVERAGE(OFFSET($H$3,0,0,'Données projet'!$E$15+1,1))</f>
        <v>447.10969593632467</v>
      </c>
      <c r="EP128" s="57">
        <f t="shared" si="100"/>
        <v>256.77417912163997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90.119872126249746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90.119872126249746</v>
      </c>
      <c r="EZ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7" t="e">
        <f t="shared" si="77"/>
        <v>#N/A</v>
      </c>
      <c r="FJ128" s="57" t="e">
        <f ca="1">AVERAGE(OFFSET($FI$3,0,0,'Données projet'!$E$16+1,1))-AVERAGE(OFFSET($H$3,0,0,'Données projet'!$E$16+1,1))</f>
        <v>#N/A</v>
      </c>
      <c r="FK128" s="57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7" t="e">
        <f t="shared" si="80"/>
        <v>#N/A</v>
      </c>
      <c r="GE128" s="57" t="e">
        <f ca="1">AVERAGE(OFFSET($GD$3,0,0,'Données projet'!$E$17+1,1))-AVERAGE(OFFSET($H$3,0,0,'Données projet'!$E$17+1,1))</f>
        <v>#N/A</v>
      </c>
      <c r="GF128" s="57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7" t="e">
        <f t="shared" si="83"/>
        <v>#N/A</v>
      </c>
      <c r="GZ128" s="57" t="e">
        <f ca="1">AVERAGE(OFFSET($GY$3,0,0,'Données projet'!$E$18+1,1))-AVERAGE(OFFSET($H$3,0,0,'Données projet'!$E$18+1,1))</f>
        <v>#N/A</v>
      </c>
      <c r="HA128" s="57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0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4">
        <f t="shared" si="56"/>
        <v>256.66666666666669</v>
      </c>
      <c r="I129" s="6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636.99999999999977</v>
      </c>
      <c r="O129" s="13">
        <f>N129*VLOOKUP('Données projet'!$B$9,Paramètres!$A$1:$I$89,3,0)*VLOOKUP('Données projet'!$B$9,Paramètres!$A$1:$I$89,5,0)</f>
        <v>356.08299999999991</v>
      </c>
      <c r="P129" s="13">
        <f t="shared" si="87"/>
        <v>82.813805255716545</v>
      </c>
      <c r="Q129" s="20">
        <f t="shared" si="107"/>
        <v>764.41193582037283</v>
      </c>
      <c r="R129" s="57">
        <f t="shared" si="55"/>
        <v>1057.7452691537062</v>
      </c>
      <c r="S129" s="57">
        <f ca="1">AVERAGE(OFFSET($R$3,0,0,'Données projet'!$E$9+1,1))-AVERAGE(OFFSET($H$3,0,0,'Données projet'!$E$9+1,1))</f>
        <v>443.34220761968419</v>
      </c>
      <c r="T129" s="57">
        <f t="shared" si="88"/>
        <v>546.58234447298014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26.446858625647717</v>
      </c>
      <c r="AA129" s="21">
        <f>EXP(-LN(2)/25)*AA128+(1-EXP(-LN(2)/25))/(LN(2)/25)*Calculateur!V129*Calculateur!X129*VLOOKUP('Données projet'!$B$9,Paramètres!$A$1:$I$89,3,0)*0.475*44/12</f>
        <v>1.5318917318903731</v>
      </c>
      <c r="AB129" s="21">
        <f>EXP(-LN(2)/2)*AB128+(1-EXP(-LN(2)/2))/(LN(2)/2)*V129*Y129*VLOOKUP('Données projet'!$B$9,Paramètres!$A$1:$I$89,3,0)*0.475*44/12</f>
        <v>2.1464774280645853E-14</v>
      </c>
      <c r="AC129" s="22">
        <f t="shared" si="57"/>
        <v>27.978750357538111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911.99999999999898</v>
      </c>
      <c r="AJ129" s="13">
        <f>AI129*VLOOKUP('Données projet'!$B$10,Paramètres!$A$1:$I$89,3,0)*VLOOKUP('Données projet'!$B$10,Paramètres!$A$1:$I$89,5,0)</f>
        <v>426.81599999999946</v>
      </c>
      <c r="AK129" s="13">
        <f t="shared" si="89"/>
        <v>97.192496986872399</v>
      </c>
      <c r="AL129" s="20">
        <f t="shared" si="58"/>
        <v>912.64813225213504</v>
      </c>
      <c r="AM129" s="57">
        <f t="shared" si="59"/>
        <v>1205.9814655854684</v>
      </c>
      <c r="AN129" s="57">
        <f ca="1">AVERAGE(OFFSET($AM$3,0,0,'Données projet'!$E$10+1,1))-AVERAGE(OFFSET($H$3,0,0,'Données projet'!$E$10+1,1))</f>
        <v>524.3999528951972</v>
      </c>
      <c r="AO129" s="57">
        <f t="shared" si="90"/>
        <v>459.3547783500515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59.766001482173827</v>
      </c>
      <c r="AV129" s="21">
        <f>EXP(-LN(2)/25)*AV128+(1-EXP(-LN(2)/25))/(LN(2)/25)*Calculateur!AQ129*Calculateur!AS129*VLOOKUP('Données projet'!$B$10,Paramètres!$A$1:$I$89,3,0)*0.475*44/12</f>
        <v>3.7317891337625069</v>
      </c>
      <c r="AW129" s="21">
        <f>EXP(-LN(2)/2)*AW128+(1-EXP(-LN(2)/2))/(LN(2)/2)*AQ129*AT129*VLOOKUP('Données projet'!$B$10,Paramètres!$A$1:$I$89,3,0)*0.475*44/12</f>
        <v>4.2356895210650988E-15</v>
      </c>
      <c r="AX129" s="21">
        <f t="shared" si="60"/>
        <v>63.497790615936339</v>
      </c>
      <c r="AY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852.00000000000011</v>
      </c>
      <c r="BE129" s="13">
        <f>BD129*VLOOKUP('Données projet'!$B$11,Paramètres!$A$1:$I$89,3,0)*VLOOKUP('Données projet'!$B$11,Paramètres!$A$1:$I$89,5,0)</f>
        <v>409.81200000000013</v>
      </c>
      <c r="BF129" s="13">
        <f t="shared" si="91"/>
        <v>93.76308331402879</v>
      </c>
      <c r="BG129" s="20">
        <f t="shared" si="61"/>
        <v>877.05993677193362</v>
      </c>
      <c r="BH129" s="57">
        <f t="shared" si="62"/>
        <v>1170.393270105267</v>
      </c>
      <c r="BI129" s="57">
        <f ca="1">AVERAGE(OFFSET($BH$3,0,0,'Données projet'!$E$11+1,1))-AVERAGE(OFFSET($H$3,0,0,'Données projet'!$E$11+1,1))</f>
        <v>495.6473104257044</v>
      </c>
      <c r="BJ129" s="57">
        <f t="shared" si="92"/>
        <v>430.92527296485201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62.261523202780758</v>
      </c>
      <c r="BQ129" s="21">
        <f>EXP(-LN(2)/25)*BQ128+(1-EXP(-LN(2)/25))/(LN(2)/25)*Calculateur!BL129*Calculateur!BN129*VLOOKUP('Données projet'!$B$11,Paramètres!$A$1:$I$89,3,0)*0.475*44/12</f>
        <v>3.5158291144475444</v>
      </c>
      <c r="BR129" s="21">
        <f>EXP(-LN(2)/2)*BR128+(1-EXP(-LN(2)/2))/(LN(2)/2)*BL129*BO129*VLOOKUP('Données projet'!$B$11,Paramètres!$A$1:$I$89,3,0)*0.475*44/12</f>
        <v>2.5999159058698199E-15</v>
      </c>
      <c r="BS129" s="22">
        <f t="shared" si="63"/>
        <v>65.777352317228306</v>
      </c>
      <c r="BT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7" t="e">
        <f t="shared" si="65"/>
        <v>#NUM!</v>
      </c>
      <c r="CD129" s="57">
        <f ca="1">AVERAGE(OFFSET($CC$3,0,0,'Données projet'!$E$12+1,1))-AVERAGE(OFFSET($H$3,0,0,'Données projet'!$E$12+1,1))</f>
        <v>187.80389738728508</v>
      </c>
      <c r="CE129" s="57">
        <f t="shared" si="94"/>
        <v>439.28159165815265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18.450976903549655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4.384472127215252E-15</v>
      </c>
      <c r="CN129" s="22">
        <f t="shared" si="66"/>
        <v>18.450976903549659</v>
      </c>
      <c r="CO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267</v>
      </c>
      <c r="CU129" s="17">
        <f>CT129*VLOOKUP('Données projet'!$B$13,Paramètres!$A$1:$I$89,3,0)*VLOOKUP('Données projet'!$B$13,Paramètres!$A$1:$I$89,5,0)</f>
        <v>241.58159999999998</v>
      </c>
      <c r="CV129" s="13">
        <f t="shared" si="95"/>
        <v>58.779689232021951</v>
      </c>
      <c r="CW129" s="20">
        <f t="shared" si="67"/>
        <v>523.12924541243819</v>
      </c>
      <c r="CX129" s="57">
        <f t="shared" si="68"/>
        <v>816.46257874577145</v>
      </c>
      <c r="CY129" s="57">
        <f ca="1">AVERAGE(OFFSET($CX$3,0,0,'Données projet'!$E$13+1,1))-AVERAGE(OFFSET($H$3,0,0,'Données projet'!$E$13+1,1))</f>
        <v>364.3481978218424</v>
      </c>
      <c r="CZ129" s="57">
        <f t="shared" si="96"/>
        <v>231.36959598460686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60.790335542616759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60.790335542616759</v>
      </c>
      <c r="DJ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255.00000000000006</v>
      </c>
      <c r="DP129" s="17">
        <f>DO129*VLOOKUP('Données projet'!$B$14,Paramètres!$A$1:$I$89,3,0)*VLOOKUP('Données projet'!$B$14,Paramètres!$A$1:$I$89,5,0)</f>
        <v>186.96600000000004</v>
      </c>
      <c r="DQ129" s="13">
        <f t="shared" si="97"/>
        <v>46.868551400324648</v>
      </c>
      <c r="DR129" s="20">
        <f t="shared" si="70"/>
        <v>407.26184368889881</v>
      </c>
      <c r="DS129" s="57">
        <f t="shared" si="71"/>
        <v>700.59517702223206</v>
      </c>
      <c r="DT129" s="57">
        <f ca="1">AVERAGE(OFFSET($DS$3,0,0,'Données projet'!$E$14+1,1))-AVERAGE(OFFSET($H$3,0,0,'Données projet'!$E$14+1,1))</f>
        <v>239.25212250019609</v>
      </c>
      <c r="DU129" s="57">
        <f t="shared" si="98"/>
        <v>213.58492101729695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403.99999999999994</v>
      </c>
      <c r="EK129" s="17">
        <f>EJ129*VLOOKUP('Données projet'!$B$15,Paramètres!$A$1:$I$89,3,0)*VLOOKUP('Données projet'!$B$15,Paramètres!$A$1:$I$89,5,0)</f>
        <v>346.63200000000001</v>
      </c>
      <c r="EL129" s="13">
        <f t="shared" si="99"/>
        <v>80.868615263336864</v>
      </c>
      <c r="EM129" s="20">
        <f t="shared" si="73"/>
        <v>744.56357158364483</v>
      </c>
      <c r="EN129" s="57">
        <f t="shared" si="74"/>
        <v>1037.8969049169782</v>
      </c>
      <c r="EO129" s="57">
        <f ca="1">AVERAGE(OFFSET($EN$3,0,0,'Données projet'!$E$15+1,1))-AVERAGE(OFFSET($H$3,0,0,'Données projet'!$E$15+1,1))</f>
        <v>447.10969593632467</v>
      </c>
      <c r="EP129" s="57">
        <f t="shared" si="100"/>
        <v>256.77417912163997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88.352676401548379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88.352676401548379</v>
      </c>
      <c r="EZ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7" t="e">
        <f t="shared" si="77"/>
        <v>#N/A</v>
      </c>
      <c r="FJ129" s="57" t="e">
        <f ca="1">AVERAGE(OFFSET($FI$3,0,0,'Données projet'!$E$16+1,1))-AVERAGE(OFFSET($H$3,0,0,'Données projet'!$E$16+1,1))</f>
        <v>#N/A</v>
      </c>
      <c r="FK129" s="57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7" t="e">
        <f t="shared" si="80"/>
        <v>#N/A</v>
      </c>
      <c r="GE129" s="57" t="e">
        <f ca="1">AVERAGE(OFFSET($GD$3,0,0,'Données projet'!$E$17+1,1))-AVERAGE(OFFSET($H$3,0,0,'Données projet'!$E$17+1,1))</f>
        <v>#N/A</v>
      </c>
      <c r="GF129" s="57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7" t="e">
        <f t="shared" si="83"/>
        <v>#N/A</v>
      </c>
      <c r="GZ129" s="57" t="e">
        <f ca="1">AVERAGE(OFFSET($GY$3,0,0,'Données projet'!$E$18+1,1))-AVERAGE(OFFSET($H$3,0,0,'Données projet'!$E$18+1,1))</f>
        <v>#N/A</v>
      </c>
      <c r="HA129" s="57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0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4">
        <f t="shared" si="56"/>
        <v>256.66666666666669</v>
      </c>
      <c r="I130" s="6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636.99999999999977</v>
      </c>
      <c r="O130" s="13">
        <f>N130*VLOOKUP('Données projet'!$B$9,Paramètres!$A$1:$I$89,3,0)*VLOOKUP('Données projet'!$B$9,Paramètres!$A$1:$I$89,5,0)</f>
        <v>356.08299999999991</v>
      </c>
      <c r="P130" s="13">
        <f t="shared" si="87"/>
        <v>82.813805255716545</v>
      </c>
      <c r="Q130" s="20">
        <f t="shared" si="107"/>
        <v>764.41193582037283</v>
      </c>
      <c r="R130" s="57">
        <f t="shared" si="55"/>
        <v>1057.7452691537062</v>
      </c>
      <c r="S130" s="57">
        <f ca="1">AVERAGE(OFFSET($R$3,0,0,'Données projet'!$E$9+1,1))-AVERAGE(OFFSET($H$3,0,0,'Données projet'!$E$9+1,1))</f>
        <v>443.34220761968419</v>
      </c>
      <c r="T130" s="57">
        <f t="shared" si="88"/>
        <v>546.58234447298014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25.928251858989725</v>
      </c>
      <c r="AA130" s="21">
        <f>EXP(-LN(2)/25)*AA129+(1-EXP(-LN(2)/25))/(LN(2)/25)*Calculateur!V130*Calculateur!X130*VLOOKUP('Données projet'!$B$9,Paramètres!$A$1:$I$89,3,0)*0.475*44/12</f>
        <v>1.4900020719231459</v>
      </c>
      <c r="AB130" s="21">
        <f>EXP(-LN(2)/2)*AB129+(1-EXP(-LN(2)/2))/(LN(2)/2)*V130*Y130*VLOOKUP('Données projet'!$B$9,Paramètres!$A$1:$I$89,3,0)*0.475*44/12</f>
        <v>1.517788745048328E-14</v>
      </c>
      <c r="AC130" s="22">
        <f t="shared" si="57"/>
        <v>27.418253930912886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911.99999999999898</v>
      </c>
      <c r="AJ130" s="13">
        <f>AI130*VLOOKUP('Données projet'!$B$10,Paramètres!$A$1:$I$89,3,0)*VLOOKUP('Données projet'!$B$10,Paramètres!$A$1:$I$89,5,0)</f>
        <v>426.81599999999946</v>
      </c>
      <c r="AK130" s="13">
        <f t="shared" si="89"/>
        <v>97.192496986872399</v>
      </c>
      <c r="AL130" s="20">
        <f t="shared" si="58"/>
        <v>912.64813225213504</v>
      </c>
      <c r="AM130" s="57">
        <f t="shared" si="59"/>
        <v>1205.9814655854684</v>
      </c>
      <c r="AN130" s="57">
        <f ca="1">AVERAGE(OFFSET($AM$3,0,0,'Données projet'!$E$10+1,1))-AVERAGE(OFFSET($H$3,0,0,'Données projet'!$E$10+1,1))</f>
        <v>524.3999528951972</v>
      </c>
      <c r="AO130" s="57">
        <f t="shared" si="90"/>
        <v>459.3547783500515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58.594026646769805</v>
      </c>
      <c r="AV130" s="21">
        <f>EXP(-LN(2)/25)*AV129+(1-EXP(-LN(2)/25))/(LN(2)/25)*Calculateur!AQ130*Calculateur!AS130*VLOOKUP('Données projet'!$B$10,Paramètres!$A$1:$I$89,3,0)*0.475*44/12</f>
        <v>3.6297431636535098</v>
      </c>
      <c r="AW130" s="21">
        <f>EXP(-LN(2)/2)*AW129+(1-EXP(-LN(2)/2))/(LN(2)/2)*AQ130*AT130*VLOOKUP('Données projet'!$B$10,Paramètres!$A$1:$I$89,3,0)*0.475*44/12</f>
        <v>2.9950847833459311E-15</v>
      </c>
      <c r="AX130" s="21">
        <f t="shared" si="60"/>
        <v>62.223769810423313</v>
      </c>
      <c r="AY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852.00000000000011</v>
      </c>
      <c r="BE130" s="13">
        <f>BD130*VLOOKUP('Données projet'!$B$11,Paramètres!$A$1:$I$89,3,0)*VLOOKUP('Données projet'!$B$11,Paramètres!$A$1:$I$89,5,0)</f>
        <v>409.81200000000013</v>
      </c>
      <c r="BF130" s="13">
        <f t="shared" si="91"/>
        <v>93.76308331402879</v>
      </c>
      <c r="BG130" s="20">
        <f t="shared" si="61"/>
        <v>877.05993677193362</v>
      </c>
      <c r="BH130" s="57">
        <f t="shared" si="62"/>
        <v>1170.393270105267</v>
      </c>
      <c r="BI130" s="57">
        <f ca="1">AVERAGE(OFFSET($BH$3,0,0,'Données projet'!$E$11+1,1))-AVERAGE(OFFSET($H$3,0,0,'Données projet'!$E$11+1,1))</f>
        <v>495.6473104257044</v>
      </c>
      <c r="BJ130" s="57">
        <f t="shared" si="92"/>
        <v>430.92527296485201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61.040612708553581</v>
      </c>
      <c r="BQ130" s="21">
        <f>EXP(-LN(2)/25)*BQ129+(1-EXP(-LN(2)/25))/(LN(2)/25)*Calculateur!BL130*Calculateur!BN130*VLOOKUP('Données projet'!$B$11,Paramètres!$A$1:$I$89,3,0)*0.475*44/12</f>
        <v>3.4196885824235586</v>
      </c>
      <c r="BR130" s="21">
        <f>EXP(-LN(2)/2)*BR129+(1-EXP(-LN(2)/2))/(LN(2)/2)*BL130*BO130*VLOOKUP('Données projet'!$B$11,Paramètres!$A$1:$I$89,3,0)*0.475*44/12</f>
        <v>1.8384181675553153E-15</v>
      </c>
      <c r="BS130" s="22">
        <f t="shared" si="63"/>
        <v>64.460301290977142</v>
      </c>
      <c r="BT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7" t="e">
        <f t="shared" si="65"/>
        <v>#NUM!</v>
      </c>
      <c r="CD130" s="57">
        <f ca="1">AVERAGE(OFFSET($CC$3,0,0,'Données projet'!$E$12+1,1))-AVERAGE(OFFSET($H$3,0,0,'Données projet'!$E$12+1,1))</f>
        <v>187.80389738728508</v>
      </c>
      <c r="CE130" s="57">
        <f t="shared" si="94"/>
        <v>439.28159165815265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18.08916450045572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3.1002899730773118E-15</v>
      </c>
      <c r="CN130" s="22">
        <f t="shared" si="66"/>
        <v>18.089164500455723</v>
      </c>
      <c r="CO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267</v>
      </c>
      <c r="CU130" s="17">
        <f>CT130*VLOOKUP('Données projet'!$B$13,Paramètres!$A$1:$I$89,3,0)*VLOOKUP('Données projet'!$B$13,Paramètres!$A$1:$I$89,5,0)</f>
        <v>241.58159999999998</v>
      </c>
      <c r="CV130" s="13">
        <f t="shared" si="95"/>
        <v>58.779689232021951</v>
      </c>
      <c r="CW130" s="20">
        <f t="shared" si="67"/>
        <v>523.12924541243819</v>
      </c>
      <c r="CX130" s="57">
        <f t="shared" si="68"/>
        <v>816.46257874577145</v>
      </c>
      <c r="CY130" s="57">
        <f ca="1">AVERAGE(OFFSET($CX$3,0,0,'Données projet'!$E$13+1,1))-AVERAGE(OFFSET($H$3,0,0,'Données projet'!$E$13+1,1))</f>
        <v>364.3481978218424</v>
      </c>
      <c r="CZ130" s="57">
        <f t="shared" si="96"/>
        <v>231.36959598460686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59.598274141069531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59.598274141069531</v>
      </c>
      <c r="DJ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255.00000000000006</v>
      </c>
      <c r="DP130" s="17">
        <f>DO130*VLOOKUP('Données projet'!$B$14,Paramètres!$A$1:$I$89,3,0)*VLOOKUP('Données projet'!$B$14,Paramètres!$A$1:$I$89,5,0)</f>
        <v>186.96600000000004</v>
      </c>
      <c r="DQ130" s="13">
        <f t="shared" si="97"/>
        <v>46.868551400324648</v>
      </c>
      <c r="DR130" s="20">
        <f t="shared" si="70"/>
        <v>407.26184368889881</v>
      </c>
      <c r="DS130" s="57">
        <f t="shared" si="71"/>
        <v>700.59517702223206</v>
      </c>
      <c r="DT130" s="57">
        <f ca="1">AVERAGE(OFFSET($DS$3,0,0,'Données projet'!$E$14+1,1))-AVERAGE(OFFSET($H$3,0,0,'Données projet'!$E$14+1,1))</f>
        <v>239.25212250019609</v>
      </c>
      <c r="DU130" s="57">
        <f t="shared" si="98"/>
        <v>213.58492101729695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403.99999999999994</v>
      </c>
      <c r="EK130" s="17">
        <f>EJ130*VLOOKUP('Données projet'!$B$15,Paramètres!$A$1:$I$89,3,0)*VLOOKUP('Données projet'!$B$15,Paramètres!$A$1:$I$89,5,0)</f>
        <v>346.63200000000001</v>
      </c>
      <c r="EL130" s="13">
        <f t="shared" si="99"/>
        <v>80.868615263336864</v>
      </c>
      <c r="EM130" s="20">
        <f t="shared" si="73"/>
        <v>744.56357158364483</v>
      </c>
      <c r="EN130" s="57">
        <f t="shared" si="74"/>
        <v>1037.8969049169782</v>
      </c>
      <c r="EO130" s="57">
        <f ca="1">AVERAGE(OFFSET($EN$3,0,0,'Données projet'!$E$15+1,1))-AVERAGE(OFFSET($H$3,0,0,'Données projet'!$E$15+1,1))</f>
        <v>447.10969593632467</v>
      </c>
      <c r="EP130" s="57">
        <f t="shared" si="100"/>
        <v>256.77417912163997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86.62013430712544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86.62013430712544</v>
      </c>
      <c r="EZ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7" t="e">
        <f t="shared" si="77"/>
        <v>#N/A</v>
      </c>
      <c r="FJ130" s="57" t="e">
        <f ca="1">AVERAGE(OFFSET($FI$3,0,0,'Données projet'!$E$16+1,1))-AVERAGE(OFFSET($H$3,0,0,'Données projet'!$E$16+1,1))</f>
        <v>#N/A</v>
      </c>
      <c r="FK130" s="57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7" t="e">
        <f t="shared" si="80"/>
        <v>#N/A</v>
      </c>
      <c r="GE130" s="57" t="e">
        <f ca="1">AVERAGE(OFFSET($GD$3,0,0,'Données projet'!$E$17+1,1))-AVERAGE(OFFSET($H$3,0,0,'Données projet'!$E$17+1,1))</f>
        <v>#N/A</v>
      </c>
      <c r="GF130" s="57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7" t="e">
        <f t="shared" si="83"/>
        <v>#N/A</v>
      </c>
      <c r="GZ130" s="57" t="e">
        <f ca="1">AVERAGE(OFFSET($GY$3,0,0,'Données projet'!$E$18+1,1))-AVERAGE(OFFSET($H$3,0,0,'Données projet'!$E$18+1,1))</f>
        <v>#N/A</v>
      </c>
      <c r="HA130" s="57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0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4">
        <f t="shared" si="56"/>
        <v>256.66666666666669</v>
      </c>
      <c r="I131" s="6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636.99999999999977</v>
      </c>
      <c r="O131" s="13">
        <f>N131*VLOOKUP('Données projet'!$B$9,Paramètres!$A$1:$I$89,3,0)*VLOOKUP('Données projet'!$B$9,Paramètres!$A$1:$I$89,5,0)</f>
        <v>356.08299999999991</v>
      </c>
      <c r="P131" s="13">
        <f t="shared" si="87"/>
        <v>82.813805255716545</v>
      </c>
      <c r="Q131" s="20">
        <f t="shared" ref="Q131:Q153" si="108">(O131+P131)*0.475*44/12</f>
        <v>764.41193582037283</v>
      </c>
      <c r="R131" s="57">
        <f t="shared" ref="R131:R194" si="109">Q131+(I131+J131)*44/12</f>
        <v>1057.7452691537062</v>
      </c>
      <c r="S131" s="57">
        <f ca="1">AVERAGE(OFFSET($R$3,0,0,'Données projet'!$E$9+1,1))-AVERAGE(OFFSET($H$3,0,0,'Données projet'!$E$9+1,1))</f>
        <v>443.34220761968419</v>
      </c>
      <c r="T131" s="57">
        <f t="shared" si="88"/>
        <v>546.58234447298014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25.419814654707</v>
      </c>
      <c r="AA131" s="21">
        <f>EXP(-LN(2)/25)*AA130+(1-EXP(-LN(2)/25))/(LN(2)/25)*Calculateur!V131*Calculateur!X131*VLOOKUP('Données projet'!$B$9,Paramètres!$A$1:$I$89,3,0)*0.475*44/12</f>
        <v>1.4492578869106041</v>
      </c>
      <c r="AB131" s="21">
        <f>EXP(-LN(2)/2)*AB130+(1-EXP(-LN(2)/2))/(LN(2)/2)*V131*Y131*VLOOKUP('Données projet'!$B$9,Paramètres!$A$1:$I$89,3,0)*0.475*44/12</f>
        <v>1.0732387140322926E-14</v>
      </c>
      <c r="AC131" s="22">
        <f t="shared" si="57"/>
        <v>26.869072541617616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911.99999999999898</v>
      </c>
      <c r="AJ131" s="13">
        <f>AI131*VLOOKUP('Données projet'!$B$10,Paramètres!$A$1:$I$89,3,0)*VLOOKUP('Données projet'!$B$10,Paramètres!$A$1:$I$89,5,0)</f>
        <v>426.81599999999946</v>
      </c>
      <c r="AK131" s="13">
        <f t="shared" si="89"/>
        <v>97.192496986872399</v>
      </c>
      <c r="AL131" s="20">
        <f t="shared" si="58"/>
        <v>912.64813225213504</v>
      </c>
      <c r="AM131" s="57">
        <f t="shared" si="59"/>
        <v>1205.9814655854684</v>
      </c>
      <c r="AN131" s="57">
        <f ca="1">AVERAGE(OFFSET($AM$3,0,0,'Données projet'!$E$10+1,1))-AVERAGE(OFFSET($H$3,0,0,'Données projet'!$E$10+1,1))</f>
        <v>524.3999528951972</v>
      </c>
      <c r="AO131" s="57">
        <f t="shared" si="90"/>
        <v>459.3547783500515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57.445033523053986</v>
      </c>
      <c r="AV131" s="21">
        <f>EXP(-LN(2)/25)*AV130+(1-EXP(-LN(2)/25))/(LN(2)/25)*Calculateur!AQ131*Calculateur!AS131*VLOOKUP('Données projet'!$B$10,Paramètres!$A$1:$I$89,3,0)*0.475*44/12</f>
        <v>3.5304876459635075</v>
      </c>
      <c r="AW131" s="21">
        <f>EXP(-LN(2)/2)*AW130+(1-EXP(-LN(2)/2))/(LN(2)/2)*AQ131*AT131*VLOOKUP('Données projet'!$B$10,Paramètres!$A$1:$I$89,3,0)*0.475*44/12</f>
        <v>2.1178447605325494E-15</v>
      </c>
      <c r="AX131" s="21">
        <f t="shared" si="60"/>
        <v>60.975521169017497</v>
      </c>
      <c r="AY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852.00000000000011</v>
      </c>
      <c r="BE131" s="13">
        <f>BD131*VLOOKUP('Données projet'!$B$11,Paramètres!$A$1:$I$89,3,0)*VLOOKUP('Données projet'!$B$11,Paramètres!$A$1:$I$89,5,0)</f>
        <v>409.81200000000013</v>
      </c>
      <c r="BF131" s="13">
        <f t="shared" si="91"/>
        <v>93.76308331402879</v>
      </c>
      <c r="BG131" s="20">
        <f t="shared" si="61"/>
        <v>877.05993677193362</v>
      </c>
      <c r="BH131" s="57">
        <f t="shared" si="62"/>
        <v>1170.393270105267</v>
      </c>
      <c r="BI131" s="57">
        <f ca="1">AVERAGE(OFFSET($BH$3,0,0,'Données projet'!$E$11+1,1))-AVERAGE(OFFSET($H$3,0,0,'Données projet'!$E$11+1,1))</f>
        <v>495.6473104257044</v>
      </c>
      <c r="BJ131" s="57">
        <f t="shared" si="92"/>
        <v>430.92527296485201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59.843643524436331</v>
      </c>
      <c r="BQ131" s="21">
        <f>EXP(-LN(2)/25)*BQ130+(1-EXP(-LN(2)/25))/(LN(2)/25)*Calculateur!BL131*Calculateur!BN131*VLOOKUP('Données projet'!$B$11,Paramètres!$A$1:$I$89,3,0)*0.475*44/12</f>
        <v>3.3261770183035795</v>
      </c>
      <c r="BR131" s="21">
        <f>EXP(-LN(2)/2)*BR130+(1-EXP(-LN(2)/2))/(LN(2)/2)*BL131*BO131*VLOOKUP('Données projet'!$B$11,Paramètres!$A$1:$I$89,3,0)*0.475*44/12</f>
        <v>1.29995795293491E-15</v>
      </c>
      <c r="BS131" s="22">
        <f t="shared" si="63"/>
        <v>63.169820542739913</v>
      </c>
      <c r="BT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7" t="e">
        <f t="shared" si="65"/>
        <v>#NUM!</v>
      </c>
      <c r="CD131" s="57">
        <f ca="1">AVERAGE(OFFSET($CC$3,0,0,'Données projet'!$E$12+1,1))-AVERAGE(OFFSET($H$3,0,0,'Données projet'!$E$12+1,1))</f>
        <v>187.80389738728508</v>
      </c>
      <c r="CE131" s="57">
        <f t="shared" si="94"/>
        <v>439.28159165815265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17.734447017902681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2.192236063607626E-15</v>
      </c>
      <c r="CN131" s="22">
        <f t="shared" si="66"/>
        <v>17.734447017902685</v>
      </c>
      <c r="CO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267</v>
      </c>
      <c r="CU131" s="17">
        <f>CT131*VLOOKUP('Données projet'!$B$13,Paramètres!$A$1:$I$89,3,0)*VLOOKUP('Données projet'!$B$13,Paramètres!$A$1:$I$89,5,0)</f>
        <v>241.58159999999998</v>
      </c>
      <c r="CV131" s="13">
        <f t="shared" si="95"/>
        <v>58.779689232021951</v>
      </c>
      <c r="CW131" s="20">
        <f t="shared" si="67"/>
        <v>523.12924541243819</v>
      </c>
      <c r="CX131" s="57">
        <f t="shared" si="68"/>
        <v>816.46257874577145</v>
      </c>
      <c r="CY131" s="57">
        <f ca="1">AVERAGE(OFFSET($CX$3,0,0,'Données projet'!$E$13+1,1))-AVERAGE(OFFSET($H$3,0,0,'Données projet'!$E$13+1,1))</f>
        <v>364.3481978218424</v>
      </c>
      <c r="CZ131" s="57">
        <f t="shared" si="96"/>
        <v>231.36959598460686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58.429588336520986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58.429588336520986</v>
      </c>
      <c r="DJ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255.00000000000006</v>
      </c>
      <c r="DP131" s="17">
        <f>DO131*VLOOKUP('Données projet'!$B$14,Paramètres!$A$1:$I$89,3,0)*VLOOKUP('Données projet'!$B$14,Paramètres!$A$1:$I$89,5,0)</f>
        <v>186.96600000000004</v>
      </c>
      <c r="DQ131" s="13">
        <f t="shared" si="97"/>
        <v>46.868551400324648</v>
      </c>
      <c r="DR131" s="20">
        <f t="shared" si="70"/>
        <v>407.26184368889881</v>
      </c>
      <c r="DS131" s="57">
        <f t="shared" si="71"/>
        <v>700.59517702223206</v>
      </c>
      <c r="DT131" s="57">
        <f ca="1">AVERAGE(OFFSET($DS$3,0,0,'Données projet'!$E$14+1,1))-AVERAGE(OFFSET($H$3,0,0,'Données projet'!$E$14+1,1))</f>
        <v>239.25212250019609</v>
      </c>
      <c r="DU131" s="57">
        <f t="shared" si="98"/>
        <v>213.58492101729695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403.99999999999994</v>
      </c>
      <c r="EK131" s="17">
        <f>EJ131*VLOOKUP('Données projet'!$B$15,Paramètres!$A$1:$I$89,3,0)*VLOOKUP('Données projet'!$B$15,Paramètres!$A$1:$I$89,5,0)</f>
        <v>346.63200000000001</v>
      </c>
      <c r="EL131" s="13">
        <f t="shared" si="99"/>
        <v>80.868615263336864</v>
      </c>
      <c r="EM131" s="20">
        <f t="shared" si="73"/>
        <v>744.56357158364483</v>
      </c>
      <c r="EN131" s="57">
        <f t="shared" si="74"/>
        <v>1037.8969049169782</v>
      </c>
      <c r="EO131" s="57">
        <f ca="1">AVERAGE(OFFSET($EN$3,0,0,'Données projet'!$E$15+1,1))-AVERAGE(OFFSET($H$3,0,0,'Données projet'!$E$15+1,1))</f>
        <v>447.10969593632467</v>
      </c>
      <c r="EP131" s="57">
        <f t="shared" si="100"/>
        <v>256.77417912163997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84.921566306427806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84.921566306427806</v>
      </c>
      <c r="EZ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7" t="e">
        <f t="shared" si="77"/>
        <v>#N/A</v>
      </c>
      <c r="FJ131" s="57" t="e">
        <f ca="1">AVERAGE(OFFSET($FI$3,0,0,'Données projet'!$E$16+1,1))-AVERAGE(OFFSET($H$3,0,0,'Données projet'!$E$16+1,1))</f>
        <v>#N/A</v>
      </c>
      <c r="FK131" s="57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7" t="e">
        <f t="shared" si="80"/>
        <v>#N/A</v>
      </c>
      <c r="GE131" s="57" t="e">
        <f ca="1">AVERAGE(OFFSET($GD$3,0,0,'Données projet'!$E$17+1,1))-AVERAGE(OFFSET($H$3,0,0,'Données projet'!$E$17+1,1))</f>
        <v>#N/A</v>
      </c>
      <c r="GF131" s="57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7" t="e">
        <f t="shared" si="83"/>
        <v>#N/A</v>
      </c>
      <c r="GZ131" s="57" t="e">
        <f ca="1">AVERAGE(OFFSET($GY$3,0,0,'Données projet'!$E$18+1,1))-AVERAGE(OFFSET($H$3,0,0,'Données projet'!$E$18+1,1))</f>
        <v>#N/A</v>
      </c>
      <c r="HA131" s="57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0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4">
        <f t="shared" ref="H132:H195" si="110">(B132+E132+F132)*44/12+(C132+D132)*0.475*44/12</f>
        <v>256.66666666666669</v>
      </c>
      <c r="I132" s="6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636.99999999999977</v>
      </c>
      <c r="O132" s="13">
        <f>N132*VLOOKUP('Données projet'!$B$9,Paramètres!$A$1:$I$89,3,0)*VLOOKUP('Données projet'!$B$9,Paramètres!$A$1:$I$89,5,0)</f>
        <v>356.08299999999991</v>
      </c>
      <c r="P132" s="13">
        <f t="shared" si="87"/>
        <v>82.813805255716545</v>
      </c>
      <c r="Q132" s="20">
        <f t="shared" si="108"/>
        <v>764.41193582037283</v>
      </c>
      <c r="R132" s="57">
        <f t="shared" si="109"/>
        <v>1057.7452691537062</v>
      </c>
      <c r="S132" s="57">
        <f ca="1">AVERAGE(OFFSET($R$3,0,0,'Données projet'!$E$9+1,1))-AVERAGE(OFFSET($H$3,0,0,'Données projet'!$E$9+1,1))</f>
        <v>443.34220761968419</v>
      </c>
      <c r="T132" s="57">
        <f t="shared" si="88"/>
        <v>546.58234447298014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24.921347593884189</v>
      </c>
      <c r="AA132" s="21">
        <f>EXP(-LN(2)/25)*AA131+(1-EXP(-LN(2)/25))/(LN(2)/25)*Calculateur!V132*Calculateur!X132*VLOOKUP('Données projet'!$B$9,Paramètres!$A$1:$I$89,3,0)*0.475*44/12</f>
        <v>1.4096278537798737</v>
      </c>
      <c r="AB132" s="21">
        <f>EXP(-LN(2)/2)*AB131+(1-EXP(-LN(2)/2))/(LN(2)/2)*V132*Y132*VLOOKUP('Données projet'!$B$9,Paramètres!$A$1:$I$89,3,0)*0.475*44/12</f>
        <v>7.5889437252416399E-15</v>
      </c>
      <c r="AC132" s="22">
        <f t="shared" ref="AC132:AC153" si="111">SUM(Z132:AB132)</f>
        <v>26.33097544766407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911.99999999999898</v>
      </c>
      <c r="AJ132" s="13">
        <f>AI132*VLOOKUP('Données projet'!$B$10,Paramètres!$A$1:$I$89,3,0)*VLOOKUP('Données projet'!$B$10,Paramètres!$A$1:$I$89,5,0)</f>
        <v>426.81599999999946</v>
      </c>
      <c r="AK132" s="13">
        <f t="shared" si="89"/>
        <v>97.192496986872399</v>
      </c>
      <c r="AL132" s="20">
        <f t="shared" ref="AL132:AL153" si="112">(AJ132+AK132)*0.475*44/12</f>
        <v>912.64813225213504</v>
      </c>
      <c r="AM132" s="57">
        <f t="shared" ref="AM132:AM195" si="113">AL132+(AD132+AE132)*44/12</f>
        <v>1205.9814655854684</v>
      </c>
      <c r="AN132" s="57">
        <f ca="1">AVERAGE(OFFSET($AM$3,0,0,'Données projet'!$E$10+1,1))-AVERAGE(OFFSET($H$3,0,0,'Données projet'!$E$10+1,1))</f>
        <v>524.3999528951972</v>
      </c>
      <c r="AO132" s="57">
        <f t="shared" si="90"/>
        <v>459.3547783500515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56.318571453677627</v>
      </c>
      <c r="AV132" s="21">
        <f>EXP(-LN(2)/25)*AV131+(1-EXP(-LN(2)/25))/(LN(2)/25)*Calculateur!AQ132*Calculateur!AS132*VLOOKUP('Données projet'!$B$10,Paramètres!$A$1:$I$89,3,0)*0.475*44/12</f>
        <v>3.4339462756243591</v>
      </c>
      <c r="AW132" s="21">
        <f>EXP(-LN(2)/2)*AW131+(1-EXP(-LN(2)/2))/(LN(2)/2)*AQ132*AT132*VLOOKUP('Données projet'!$B$10,Paramètres!$A$1:$I$89,3,0)*0.475*44/12</f>
        <v>1.4975423916729656E-15</v>
      </c>
      <c r="AX132" s="21">
        <f t="shared" ref="AX132:AX153" si="114">SUM(AU132:AW132)</f>
        <v>59.752517729301985</v>
      </c>
      <c r="AY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852.00000000000011</v>
      </c>
      <c r="BE132" s="13">
        <f>BD132*VLOOKUP('Données projet'!$B$11,Paramètres!$A$1:$I$89,3,0)*VLOOKUP('Données projet'!$B$11,Paramètres!$A$1:$I$89,5,0)</f>
        <v>409.81200000000013</v>
      </c>
      <c r="BF132" s="13">
        <f t="shared" si="91"/>
        <v>93.76308331402879</v>
      </c>
      <c r="BG132" s="20">
        <f t="shared" ref="BG132:BG153" si="115">(BE132+BF132)*0.475*44/12</f>
        <v>877.05993677193362</v>
      </c>
      <c r="BH132" s="57">
        <f t="shared" ref="BH132:BH195" si="116">BG132+(AY132+AZ132)*44/12</f>
        <v>1170.393270105267</v>
      </c>
      <c r="BI132" s="57">
        <f ca="1">AVERAGE(OFFSET($BH$3,0,0,'Données projet'!$E$11+1,1))-AVERAGE(OFFSET($H$3,0,0,'Données projet'!$E$11+1,1))</f>
        <v>495.6473104257044</v>
      </c>
      <c r="BJ132" s="57">
        <f t="shared" si="92"/>
        <v>430.92527296485201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58.670146175940509</v>
      </c>
      <c r="BQ132" s="21">
        <f>EXP(-LN(2)/25)*BQ131+(1-EXP(-LN(2)/25))/(LN(2)/25)*Calculateur!BL132*Calculateur!BN132*VLOOKUP('Données projet'!$B$11,Paramètres!$A$1:$I$89,3,0)*0.475*44/12</f>
        <v>3.235222532822021</v>
      </c>
      <c r="BR132" s="21">
        <f>EXP(-LN(2)/2)*BR131+(1-EXP(-LN(2)/2))/(LN(2)/2)*BL132*BO132*VLOOKUP('Données projet'!$B$11,Paramètres!$A$1:$I$89,3,0)*0.475*44/12</f>
        <v>9.1920908377765763E-16</v>
      </c>
      <c r="BS132" s="22">
        <f t="shared" ref="BS132:BS153" si="117">SUM(BP132:BR132)</f>
        <v>61.905368708762531</v>
      </c>
      <c r="BT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7" t="e">
        <f t="shared" ref="CC132:CC195" si="119">CB132+(BT132+BU132)*44/12</f>
        <v>#NUM!</v>
      </c>
      <c r="CD132" s="57">
        <f ca="1">AVERAGE(OFFSET($CC$3,0,0,'Données projet'!$E$12+1,1))-AVERAGE(OFFSET($H$3,0,0,'Données projet'!$E$12+1,1))</f>
        <v>187.80389738728508</v>
      </c>
      <c r="CE132" s="57">
        <f t="shared" si="94"/>
        <v>439.28159165815265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17.386685328826207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1.5501449865386559E-15</v>
      </c>
      <c r="CN132" s="22">
        <f t="shared" ref="CN132:CN153" si="120">SUM(CK132:CM132)</f>
        <v>17.386685328826207</v>
      </c>
      <c r="CO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267</v>
      </c>
      <c r="CU132" s="17">
        <f>CT132*VLOOKUP('Données projet'!$B$13,Paramètres!$A$1:$I$89,3,0)*VLOOKUP('Données projet'!$B$13,Paramètres!$A$1:$I$89,5,0)</f>
        <v>241.58159999999998</v>
      </c>
      <c r="CV132" s="13">
        <f t="shared" si="95"/>
        <v>58.779689232021951</v>
      </c>
      <c r="CW132" s="20">
        <f t="shared" ref="CW132:CW153" si="121">(CU132+CV132)*0.475*44/12</f>
        <v>523.12924541243819</v>
      </c>
      <c r="CX132" s="57">
        <f t="shared" ref="CX132:CX195" si="122">CW132+(CO132+CP132)*44/12</f>
        <v>816.46257874577145</v>
      </c>
      <c r="CY132" s="57">
        <f ca="1">AVERAGE(OFFSET($CX$3,0,0,'Données projet'!$E$13+1,1))-AVERAGE(OFFSET($H$3,0,0,'Données projet'!$E$13+1,1))</f>
        <v>364.3481978218424</v>
      </c>
      <c r="CZ132" s="57">
        <f t="shared" si="96"/>
        <v>231.36959598460686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57.28381974777168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57.28381974777168</v>
      </c>
      <c r="DJ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255.00000000000006</v>
      </c>
      <c r="DP132" s="17">
        <f>DO132*VLOOKUP('Données projet'!$B$14,Paramètres!$A$1:$I$89,3,0)*VLOOKUP('Données projet'!$B$14,Paramètres!$A$1:$I$89,5,0)</f>
        <v>186.96600000000004</v>
      </c>
      <c r="DQ132" s="13">
        <f t="shared" si="97"/>
        <v>46.868551400324648</v>
      </c>
      <c r="DR132" s="20">
        <f t="shared" ref="DR132:DR153" si="124">(DP132+DQ132)*0.475*44/12</f>
        <v>407.26184368889881</v>
      </c>
      <c r="DS132" s="57">
        <f t="shared" ref="DS132:DS195" si="125">DR132+(DJ132+DK132)*44/12</f>
        <v>700.59517702223206</v>
      </c>
      <c r="DT132" s="57">
        <f ca="1">AVERAGE(OFFSET($DS$3,0,0,'Données projet'!$E$14+1,1))-AVERAGE(OFFSET($H$3,0,0,'Données projet'!$E$14+1,1))</f>
        <v>239.25212250019609</v>
      </c>
      <c r="DU132" s="57">
        <f t="shared" si="98"/>
        <v>213.58492101729695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403.99999999999994</v>
      </c>
      <c r="EK132" s="17">
        <f>EJ132*VLOOKUP('Données projet'!$B$15,Paramètres!$A$1:$I$89,3,0)*VLOOKUP('Données projet'!$B$15,Paramètres!$A$1:$I$89,5,0)</f>
        <v>346.63200000000001</v>
      </c>
      <c r="EL132" s="13">
        <f t="shared" si="99"/>
        <v>80.868615263336864</v>
      </c>
      <c r="EM132" s="20">
        <f t="shared" ref="EM132:EM153" si="127">(EK132+EL132)*0.475*44/12</f>
        <v>744.56357158364483</v>
      </c>
      <c r="EN132" s="57">
        <f t="shared" ref="EN132:EN195" si="128">EM132+(EE132+EF132)*44/12</f>
        <v>1037.8969049169782</v>
      </c>
      <c r="EO132" s="57">
        <f ca="1">AVERAGE(OFFSET($EN$3,0,0,'Données projet'!$E$15+1,1))-AVERAGE(OFFSET($H$3,0,0,'Données projet'!$E$15+1,1))</f>
        <v>447.10969593632467</v>
      </c>
      <c r="EP132" s="57">
        <f t="shared" si="100"/>
        <v>256.77417912163997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83.256306188199673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83.256306188199673</v>
      </c>
      <c r="EZ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7" t="e">
        <f t="shared" ref="FI132:FI195" si="131">FH132+(EZ132+FA132)*44/12</f>
        <v>#N/A</v>
      </c>
      <c r="FJ132" s="57" t="e">
        <f ca="1">AVERAGE(OFFSET($FI$3,0,0,'Données projet'!$E$16+1,1))-AVERAGE(OFFSET($H$3,0,0,'Données projet'!$E$16+1,1))</f>
        <v>#N/A</v>
      </c>
      <c r="FK132" s="57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7" t="e">
        <f t="shared" ref="GD132:GD195" si="134">GC132+(FU132+FV132)*44/12</f>
        <v>#N/A</v>
      </c>
      <c r="GE132" s="57" t="e">
        <f ca="1">AVERAGE(OFFSET($GD$3,0,0,'Données projet'!$E$17+1,1))-AVERAGE(OFFSET($H$3,0,0,'Données projet'!$E$17+1,1))</f>
        <v>#N/A</v>
      </c>
      <c r="GF132" s="57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7" t="e">
        <f t="shared" ref="GY132:GY195" si="137">GX132+(GP132+GQ132)*44/12</f>
        <v>#N/A</v>
      </c>
      <c r="GZ132" s="57" t="e">
        <f ca="1">AVERAGE(OFFSET($GY$3,0,0,'Données projet'!$E$18+1,1))-AVERAGE(OFFSET($H$3,0,0,'Données projet'!$E$18+1,1))</f>
        <v>#N/A</v>
      </c>
      <c r="HA132" s="57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0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4">
        <f t="shared" si="110"/>
        <v>256.66666666666669</v>
      </c>
      <c r="I133" s="6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636.99999999999977</v>
      </c>
      <c r="O133" s="13">
        <f>N133*VLOOKUP('Données projet'!$B$9,Paramètres!$A$1:$I$89,3,0)*VLOOKUP('Données projet'!$B$9,Paramètres!$A$1:$I$89,5,0)</f>
        <v>356.08299999999991</v>
      </c>
      <c r="P133" s="13">
        <f t="shared" ref="P133:P196" si="141">EXP(-1.0587+0.8836*LN(O133)+0.284)</f>
        <v>82.813805255716545</v>
      </c>
      <c r="Q133" s="20">
        <f t="shared" si="108"/>
        <v>764.41193582037283</v>
      </c>
      <c r="R133" s="57">
        <f t="shared" si="109"/>
        <v>1057.7452691537062</v>
      </c>
      <c r="S133" s="57">
        <f ca="1">AVERAGE(OFFSET($R$3,0,0,'Données projet'!$E$9+1,1))-AVERAGE(OFFSET($H$3,0,0,'Données projet'!$E$9+1,1))</f>
        <v>443.34220761968419</v>
      </c>
      <c r="T133" s="57">
        <f t="shared" ref="T133:T196" si="142">$T$3</f>
        <v>546.58234447298014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24.432655168089227</v>
      </c>
      <c r="AA133" s="21">
        <f>EXP(-LN(2)/25)*AA132+(1-EXP(-LN(2)/25))/(LN(2)/25)*Calculateur!V133*Calculateur!X133*VLOOKUP('Données projet'!$B$9,Paramètres!$A$1:$I$89,3,0)*0.475*44/12</f>
        <v>1.3710815059891559</v>
      </c>
      <c r="AB133" s="21">
        <f>EXP(-LN(2)/2)*AB132+(1-EXP(-LN(2)/2))/(LN(2)/2)*V133*Y133*VLOOKUP('Données projet'!$B$9,Paramètres!$A$1:$I$89,3,0)*0.475*44/12</f>
        <v>5.3661935701614631E-15</v>
      </c>
      <c r="AC133" s="22">
        <f t="shared" si="111"/>
        <v>25.80373667407839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911.99999999999898</v>
      </c>
      <c r="AJ133" s="13">
        <f>AI133*VLOOKUP('Données projet'!$B$10,Paramètres!$A$1:$I$89,3,0)*VLOOKUP('Données projet'!$B$10,Paramètres!$A$1:$I$89,5,0)</f>
        <v>426.81599999999946</v>
      </c>
      <c r="AK133" s="13">
        <f t="shared" ref="AK133:AK153" si="143">EXP(-1.0587+0.8836*LN(AJ133)+0.284)</f>
        <v>97.192496986872399</v>
      </c>
      <c r="AL133" s="20">
        <f t="shared" si="112"/>
        <v>912.64813225213504</v>
      </c>
      <c r="AM133" s="57">
        <f t="shared" si="113"/>
        <v>1205.9814655854684</v>
      </c>
      <c r="AN133" s="57">
        <f ca="1">AVERAGE(OFFSET($AM$3,0,0,'Données projet'!$E$10+1,1))-AVERAGE(OFFSET($H$3,0,0,'Données projet'!$E$10+1,1))</f>
        <v>524.3999528951972</v>
      </c>
      <c r="AO133" s="57">
        <f t="shared" ref="AO133:AO196" si="144">$AO$3</f>
        <v>459.3547783500515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55.214198618407721</v>
      </c>
      <c r="AV133" s="21">
        <f>EXP(-LN(2)/25)*AV132+(1-EXP(-LN(2)/25))/(LN(2)/25)*Calculateur!AQ133*Calculateur!AS133*VLOOKUP('Données projet'!$B$10,Paramètres!$A$1:$I$89,3,0)*0.475*44/12</f>
        <v>3.3400448341340248</v>
      </c>
      <c r="AW133" s="21">
        <f>EXP(-LN(2)/2)*AW132+(1-EXP(-LN(2)/2))/(LN(2)/2)*AQ133*AT133*VLOOKUP('Données projet'!$B$10,Paramètres!$A$1:$I$89,3,0)*0.475*44/12</f>
        <v>1.0589223802662747E-15</v>
      </c>
      <c r="AX133" s="21">
        <f t="shared" si="114"/>
        <v>58.554243452541748</v>
      </c>
      <c r="AY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852.00000000000011</v>
      </c>
      <c r="BE133" s="13">
        <f>BD133*VLOOKUP('Données projet'!$B$11,Paramètres!$A$1:$I$89,3,0)*VLOOKUP('Données projet'!$B$11,Paramètres!$A$1:$I$89,5,0)</f>
        <v>409.81200000000013</v>
      </c>
      <c r="BF133" s="13">
        <f t="shared" ref="BF133:BF153" si="145">EXP(-1.0587+0.8836*LN(BE133)+0.284)</f>
        <v>93.76308331402879</v>
      </c>
      <c r="BG133" s="20">
        <f t="shared" si="115"/>
        <v>877.05993677193362</v>
      </c>
      <c r="BH133" s="57">
        <f t="shared" si="116"/>
        <v>1170.393270105267</v>
      </c>
      <c r="BI133" s="57">
        <f ca="1">AVERAGE(OFFSET($BH$3,0,0,'Données projet'!$E$11+1,1))-AVERAGE(OFFSET($H$3,0,0,'Données projet'!$E$11+1,1))</f>
        <v>495.6473104257044</v>
      </c>
      <c r="BJ133" s="57">
        <f t="shared" ref="BJ133:BJ196" si="146">$BJ$3</f>
        <v>430.92527296485201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57.519660394685985</v>
      </c>
      <c r="BQ133" s="21">
        <f>EXP(-LN(2)/25)*BQ132+(1-EXP(-LN(2)/25))/(LN(2)/25)*Calculateur!BL133*Calculateur!BN133*VLOOKUP('Données projet'!$B$11,Paramètres!$A$1:$I$89,3,0)*0.475*44/12</f>
        <v>3.1467552025290439</v>
      </c>
      <c r="BR133" s="21">
        <f>EXP(-LN(2)/2)*BR132+(1-EXP(-LN(2)/2))/(LN(2)/2)*BL133*BO133*VLOOKUP('Données projet'!$B$11,Paramètres!$A$1:$I$89,3,0)*0.475*44/12</f>
        <v>6.4997897646745498E-16</v>
      </c>
      <c r="BS133" s="22">
        <f t="shared" si="117"/>
        <v>60.666415597215028</v>
      </c>
      <c r="BT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7" t="e">
        <f t="shared" si="119"/>
        <v>#NUM!</v>
      </c>
      <c r="CD133" s="57">
        <f ca="1">AVERAGE(OFFSET($CC$3,0,0,'Données projet'!$E$12+1,1))-AVERAGE(OFFSET($H$3,0,0,'Données projet'!$E$12+1,1))</f>
        <v>187.80389738728508</v>
      </c>
      <c r="CE133" s="57">
        <f t="shared" ref="CE133:CE196" si="148">$CE$3</f>
        <v>439.28159165815265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17.045743034358836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1.096118031803813E-15</v>
      </c>
      <c r="CN133" s="22">
        <f t="shared" si="120"/>
        <v>17.045743034358836</v>
      </c>
      <c r="CO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267</v>
      </c>
      <c r="CU133" s="17">
        <f>CT133*VLOOKUP('Données projet'!$B$13,Paramètres!$A$1:$I$89,3,0)*VLOOKUP('Données projet'!$B$13,Paramètres!$A$1:$I$89,5,0)</f>
        <v>241.58159999999998</v>
      </c>
      <c r="CV133" s="13">
        <f t="shared" ref="CV133:CV153" si="149">EXP(-1.0587+0.8836*LN(CU133)+0.284)</f>
        <v>58.779689232021951</v>
      </c>
      <c r="CW133" s="20">
        <f t="shared" si="121"/>
        <v>523.12924541243819</v>
      </c>
      <c r="CX133" s="57">
        <f t="shared" si="122"/>
        <v>816.46257874577145</v>
      </c>
      <c r="CY133" s="57">
        <f ca="1">AVERAGE(OFFSET($CX$3,0,0,'Données projet'!$E$13+1,1))-AVERAGE(OFFSET($H$3,0,0,'Données projet'!$E$13+1,1))</f>
        <v>364.3481978218424</v>
      </c>
      <c r="CZ133" s="57">
        <f t="shared" ref="CZ133:CZ196" si="150">$CZ$3</f>
        <v>231.36959598460686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56.160518982197914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56.160518982197914</v>
      </c>
      <c r="DJ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255.00000000000006</v>
      </c>
      <c r="DP133" s="17">
        <f>DO133*VLOOKUP('Données projet'!$B$14,Paramètres!$A$1:$I$89,3,0)*VLOOKUP('Données projet'!$B$14,Paramètres!$A$1:$I$89,5,0)</f>
        <v>186.96600000000004</v>
      </c>
      <c r="DQ133" s="13">
        <f t="shared" ref="DQ133:DQ153" si="151">EXP(-1.0587+0.8836*LN(DP133)+0.284)</f>
        <v>46.868551400324648</v>
      </c>
      <c r="DR133" s="20">
        <f t="shared" si="124"/>
        <v>407.26184368889881</v>
      </c>
      <c r="DS133" s="57">
        <f t="shared" si="125"/>
        <v>700.59517702223206</v>
      </c>
      <c r="DT133" s="57">
        <f ca="1">AVERAGE(OFFSET($DS$3,0,0,'Données projet'!$E$14+1,1))-AVERAGE(OFFSET($H$3,0,0,'Données projet'!$E$14+1,1))</f>
        <v>239.25212250019609</v>
      </c>
      <c r="DU133" s="57">
        <f t="shared" ref="DU133:DU196" si="152">$DU$3</f>
        <v>213.58492101729695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403.99999999999994</v>
      </c>
      <c r="EK133" s="17">
        <f>EJ133*VLOOKUP('Données projet'!$B$15,Paramètres!$A$1:$I$89,3,0)*VLOOKUP('Données projet'!$B$15,Paramètres!$A$1:$I$89,5,0)</f>
        <v>346.63200000000001</v>
      </c>
      <c r="EL133" s="13">
        <f t="shared" ref="EL133:EL153" si="153">EXP(-1.0587+0.8836*LN(EK133)+0.284)</f>
        <v>80.868615263336864</v>
      </c>
      <c r="EM133" s="20">
        <f t="shared" si="127"/>
        <v>744.56357158364483</v>
      </c>
      <c r="EN133" s="57">
        <f t="shared" si="128"/>
        <v>1037.8969049169782</v>
      </c>
      <c r="EO133" s="57">
        <f ca="1">AVERAGE(OFFSET($EN$3,0,0,'Données projet'!$E$15+1,1))-AVERAGE(OFFSET($H$3,0,0,'Données projet'!$E$15+1,1))</f>
        <v>447.10969593632467</v>
      </c>
      <c r="EP133" s="57">
        <f t="shared" ref="EP133:EP196" si="154">$EP$3</f>
        <v>256.77417912163997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81.623700805181613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81.623700805181613</v>
      </c>
      <c r="EZ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7" t="e">
        <f t="shared" si="131"/>
        <v>#N/A</v>
      </c>
      <c r="FJ133" s="57" t="e">
        <f ca="1">AVERAGE(OFFSET($FI$3,0,0,'Données projet'!$E$16+1,1))-AVERAGE(OFFSET($H$3,0,0,'Données projet'!$E$16+1,1))</f>
        <v>#N/A</v>
      </c>
      <c r="FK133" s="57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7" t="e">
        <f t="shared" si="134"/>
        <v>#N/A</v>
      </c>
      <c r="GE133" s="57" t="e">
        <f ca="1">AVERAGE(OFFSET($GD$3,0,0,'Données projet'!$E$17+1,1))-AVERAGE(OFFSET($H$3,0,0,'Données projet'!$E$17+1,1))</f>
        <v>#N/A</v>
      </c>
      <c r="GF133" s="57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7" t="e">
        <f t="shared" si="137"/>
        <v>#N/A</v>
      </c>
      <c r="GZ133" s="57" t="e">
        <f ca="1">AVERAGE(OFFSET($GY$3,0,0,'Données projet'!$E$18+1,1))-AVERAGE(OFFSET($H$3,0,0,'Données projet'!$E$18+1,1))</f>
        <v>#N/A</v>
      </c>
      <c r="HA133" s="57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0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4">
        <f t="shared" si="110"/>
        <v>256.66666666666669</v>
      </c>
      <c r="I134" s="6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636.99999999999977</v>
      </c>
      <c r="O134" s="13">
        <f>N134*VLOOKUP('Données projet'!$B$9,Paramètres!$A$1:$I$89,3,0)*VLOOKUP('Données projet'!$B$9,Paramètres!$A$1:$I$89,5,0)</f>
        <v>356.08299999999991</v>
      </c>
      <c r="P134" s="13">
        <f t="shared" si="141"/>
        <v>82.813805255716545</v>
      </c>
      <c r="Q134" s="20">
        <f t="shared" si="108"/>
        <v>764.41193582037283</v>
      </c>
      <c r="R134" s="57">
        <f t="shared" si="109"/>
        <v>1057.7452691537062</v>
      </c>
      <c r="S134" s="57">
        <f ca="1">AVERAGE(OFFSET($R$3,0,0,'Données projet'!$E$9+1,1))-AVERAGE(OFFSET($H$3,0,0,'Données projet'!$E$9+1,1))</f>
        <v>443.34220761968419</v>
      </c>
      <c r="T134" s="57">
        <f t="shared" si="142"/>
        <v>546.58234447298014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23.953545702691155</v>
      </c>
      <c r="AA134" s="21">
        <f>EXP(-LN(2)/25)*AA133+(1-EXP(-LN(2)/25))/(LN(2)/25)*Calculateur!V134*Calculateur!X134*VLOOKUP('Données projet'!$B$9,Paramètres!$A$1:$I$89,3,0)*0.475*44/12</f>
        <v>1.3335892101058398</v>
      </c>
      <c r="AB134" s="21">
        <f>EXP(-LN(2)/2)*AB133+(1-EXP(-LN(2)/2))/(LN(2)/2)*V134*Y134*VLOOKUP('Données projet'!$B$9,Paramètres!$A$1:$I$89,3,0)*0.475*44/12</f>
        <v>3.7944718626208199E-15</v>
      </c>
      <c r="AC134" s="22">
        <f t="shared" si="111"/>
        <v>25.287134912796997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911.99999999999898</v>
      </c>
      <c r="AJ134" s="13">
        <f>AI134*VLOOKUP('Données projet'!$B$10,Paramètres!$A$1:$I$89,3,0)*VLOOKUP('Données projet'!$B$10,Paramètres!$A$1:$I$89,5,0)</f>
        <v>426.81599999999946</v>
      </c>
      <c r="AK134" s="13">
        <f t="shared" si="143"/>
        <v>97.192496986872399</v>
      </c>
      <c r="AL134" s="20">
        <f t="shared" si="112"/>
        <v>912.64813225213504</v>
      </c>
      <c r="AM134" s="57">
        <f t="shared" si="113"/>
        <v>1205.9814655854684</v>
      </c>
      <c r="AN134" s="57">
        <f ca="1">AVERAGE(OFFSET($AM$3,0,0,'Données projet'!$E$10+1,1))-AVERAGE(OFFSET($H$3,0,0,'Données projet'!$E$10+1,1))</f>
        <v>524.3999528951972</v>
      </c>
      <c r="AO134" s="57">
        <f t="shared" si="144"/>
        <v>459.3547783500515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54.131481860836544</v>
      </c>
      <c r="AV134" s="21">
        <f>EXP(-LN(2)/25)*AV133+(1-EXP(-LN(2)/25))/(LN(2)/25)*Calculateur!AQ134*Calculateur!AS134*VLOOKUP('Données projet'!$B$10,Paramètres!$A$1:$I$89,3,0)*0.475*44/12</f>
        <v>3.2487111324993059</v>
      </c>
      <c r="AW134" s="21">
        <f>EXP(-LN(2)/2)*AW133+(1-EXP(-LN(2)/2))/(LN(2)/2)*AQ134*AT134*VLOOKUP('Données projet'!$B$10,Paramètres!$A$1:$I$89,3,0)*0.475*44/12</f>
        <v>7.4877119583648278E-16</v>
      </c>
      <c r="AX134" s="21">
        <f t="shared" si="114"/>
        <v>57.380192993335854</v>
      </c>
      <c r="AY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852.00000000000011</v>
      </c>
      <c r="BE134" s="13">
        <f>BD134*VLOOKUP('Données projet'!$B$11,Paramètres!$A$1:$I$89,3,0)*VLOOKUP('Données projet'!$B$11,Paramètres!$A$1:$I$89,5,0)</f>
        <v>409.81200000000013</v>
      </c>
      <c r="BF134" s="13">
        <f t="shared" si="145"/>
        <v>93.76308331402879</v>
      </c>
      <c r="BG134" s="20">
        <f t="shared" si="115"/>
        <v>877.05993677193362</v>
      </c>
      <c r="BH134" s="57">
        <f t="shared" si="116"/>
        <v>1170.393270105267</v>
      </c>
      <c r="BI134" s="57">
        <f ca="1">AVERAGE(OFFSET($BH$3,0,0,'Données projet'!$E$11+1,1))-AVERAGE(OFFSET($H$3,0,0,'Données projet'!$E$11+1,1))</f>
        <v>495.6473104257044</v>
      </c>
      <c r="BJ134" s="57">
        <f t="shared" si="146"/>
        <v>430.92527296485201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56.391734937874823</v>
      </c>
      <c r="BQ134" s="21">
        <f>EXP(-LN(2)/25)*BQ133+(1-EXP(-LN(2)/25))/(LN(2)/25)*Calculateur!BL134*Calculateur!BN134*VLOOKUP('Données projet'!$B$11,Paramètres!$A$1:$I$89,3,0)*0.475*44/12</f>
        <v>3.0607070160352232</v>
      </c>
      <c r="BR134" s="21">
        <f>EXP(-LN(2)/2)*BR133+(1-EXP(-LN(2)/2))/(LN(2)/2)*BL134*BO134*VLOOKUP('Données projet'!$B$11,Paramètres!$A$1:$I$89,3,0)*0.475*44/12</f>
        <v>4.5960454188882881E-16</v>
      </c>
      <c r="BS134" s="22">
        <f t="shared" si="117"/>
        <v>59.452441953910046</v>
      </c>
      <c r="BT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7" t="e">
        <f t="shared" si="119"/>
        <v>#NUM!</v>
      </c>
      <c r="CD134" s="57">
        <f ca="1">AVERAGE(OFFSET($CC$3,0,0,'Données projet'!$E$12+1,1))-AVERAGE(OFFSET($H$3,0,0,'Données projet'!$E$12+1,1))</f>
        <v>187.80389738728508</v>
      </c>
      <c r="CE134" s="57">
        <f t="shared" si="148"/>
        <v>439.28159165815265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16.711486410331702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7.7507249326932795E-16</v>
      </c>
      <c r="CN134" s="22">
        <f t="shared" si="120"/>
        <v>16.711486410331702</v>
      </c>
      <c r="CO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267</v>
      </c>
      <c r="CU134" s="17">
        <f>CT134*VLOOKUP('Données projet'!$B$13,Paramètres!$A$1:$I$89,3,0)*VLOOKUP('Données projet'!$B$13,Paramètres!$A$1:$I$89,5,0)</f>
        <v>241.58159999999998</v>
      </c>
      <c r="CV134" s="13">
        <f t="shared" si="149"/>
        <v>58.779689232021951</v>
      </c>
      <c r="CW134" s="20">
        <f t="shared" si="121"/>
        <v>523.12924541243819</v>
      </c>
      <c r="CX134" s="57">
        <f t="shared" si="122"/>
        <v>816.46257874577145</v>
      </c>
      <c r="CY134" s="57">
        <f ca="1">AVERAGE(OFFSET($CX$3,0,0,'Données projet'!$E$13+1,1))-AVERAGE(OFFSET($H$3,0,0,'Données projet'!$E$13+1,1))</f>
        <v>364.3481978218424</v>
      </c>
      <c r="CZ134" s="57">
        <f t="shared" si="150"/>
        <v>231.36959598460686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55.059245459491237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55.059245459491237</v>
      </c>
      <c r="DJ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255.00000000000006</v>
      </c>
      <c r="DP134" s="17">
        <f>DO134*VLOOKUP('Données projet'!$B$14,Paramètres!$A$1:$I$89,3,0)*VLOOKUP('Données projet'!$B$14,Paramètres!$A$1:$I$89,5,0)</f>
        <v>186.96600000000004</v>
      </c>
      <c r="DQ134" s="13">
        <f t="shared" si="151"/>
        <v>46.868551400324648</v>
      </c>
      <c r="DR134" s="20">
        <f t="shared" si="124"/>
        <v>407.26184368889881</v>
      </c>
      <c r="DS134" s="57">
        <f t="shared" si="125"/>
        <v>700.59517702223206</v>
      </c>
      <c r="DT134" s="57">
        <f ca="1">AVERAGE(OFFSET($DS$3,0,0,'Données projet'!$E$14+1,1))-AVERAGE(OFFSET($H$3,0,0,'Données projet'!$E$14+1,1))</f>
        <v>239.25212250019609</v>
      </c>
      <c r="DU134" s="57">
        <f t="shared" si="152"/>
        <v>213.58492101729695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403.99999999999994</v>
      </c>
      <c r="EK134" s="17">
        <f>EJ134*VLOOKUP('Données projet'!$B$15,Paramètres!$A$1:$I$89,3,0)*VLOOKUP('Données projet'!$B$15,Paramètres!$A$1:$I$89,5,0)</f>
        <v>346.63200000000001</v>
      </c>
      <c r="EL134" s="13">
        <f t="shared" si="153"/>
        <v>80.868615263336864</v>
      </c>
      <c r="EM134" s="20">
        <f t="shared" si="127"/>
        <v>744.56357158364483</v>
      </c>
      <c r="EN134" s="57">
        <f t="shared" si="128"/>
        <v>1037.8969049169782</v>
      </c>
      <c r="EO134" s="57">
        <f ca="1">AVERAGE(OFFSET($EN$3,0,0,'Données projet'!$E$15+1,1))-AVERAGE(OFFSET($H$3,0,0,'Données projet'!$E$15+1,1))</f>
        <v>447.10969593632467</v>
      </c>
      <c r="EP134" s="57">
        <f t="shared" si="154"/>
        <v>256.77417912163997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80.023109817933573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80.023109817933573</v>
      </c>
      <c r="EZ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7" t="e">
        <f t="shared" si="131"/>
        <v>#N/A</v>
      </c>
      <c r="FJ134" s="57" t="e">
        <f ca="1">AVERAGE(OFFSET($FI$3,0,0,'Données projet'!$E$16+1,1))-AVERAGE(OFFSET($H$3,0,0,'Données projet'!$E$16+1,1))</f>
        <v>#N/A</v>
      </c>
      <c r="FK134" s="57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7" t="e">
        <f t="shared" si="134"/>
        <v>#N/A</v>
      </c>
      <c r="GE134" s="57" t="e">
        <f ca="1">AVERAGE(OFFSET($GD$3,0,0,'Données projet'!$E$17+1,1))-AVERAGE(OFFSET($H$3,0,0,'Données projet'!$E$17+1,1))</f>
        <v>#N/A</v>
      </c>
      <c r="GF134" s="57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7" t="e">
        <f t="shared" si="137"/>
        <v>#N/A</v>
      </c>
      <c r="GZ134" s="57" t="e">
        <f ca="1">AVERAGE(OFFSET($GY$3,0,0,'Données projet'!$E$18+1,1))-AVERAGE(OFFSET($H$3,0,0,'Données projet'!$E$18+1,1))</f>
        <v>#N/A</v>
      </c>
      <c r="HA134" s="57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0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4">
        <f t="shared" si="110"/>
        <v>256.66666666666669</v>
      </c>
      <c r="I135" s="6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636.99999999999977</v>
      </c>
      <c r="O135" s="13">
        <f>N135*VLOOKUP('Données projet'!$B$9,Paramètres!$A$1:$I$89,3,0)*VLOOKUP('Données projet'!$B$9,Paramètres!$A$1:$I$89,5,0)</f>
        <v>356.08299999999991</v>
      </c>
      <c r="P135" s="13">
        <f t="shared" si="141"/>
        <v>82.813805255716545</v>
      </c>
      <c r="Q135" s="20">
        <f t="shared" si="108"/>
        <v>764.41193582037283</v>
      </c>
      <c r="R135" s="57">
        <f t="shared" si="109"/>
        <v>1057.7452691537062</v>
      </c>
      <c r="S135" s="57">
        <f ca="1">AVERAGE(OFFSET($R$3,0,0,'Données projet'!$E$9+1,1))-AVERAGE(OFFSET($H$3,0,0,'Données projet'!$E$9+1,1))</f>
        <v>443.34220761968419</v>
      </c>
      <c r="T135" s="57">
        <f t="shared" si="142"/>
        <v>546.58234447298014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23.483831281681621</v>
      </c>
      <c r="AA135" s="21">
        <f>EXP(-LN(2)/25)*AA134+(1-EXP(-LN(2)/25))/(LN(2)/25)*Calculateur!V135*Calculateur!X135*VLOOKUP('Données projet'!$B$9,Paramètres!$A$1:$I$89,3,0)*0.475*44/12</f>
        <v>1.297122143025087</v>
      </c>
      <c r="AB135" s="21">
        <f>EXP(-LN(2)/2)*AB134+(1-EXP(-LN(2)/2))/(LN(2)/2)*V135*Y135*VLOOKUP('Données projet'!$B$9,Paramètres!$A$1:$I$89,3,0)*0.475*44/12</f>
        <v>2.6830967850807316E-15</v>
      </c>
      <c r="AC135" s="22">
        <f t="shared" si="111"/>
        <v>24.780953424706713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911.99999999999898</v>
      </c>
      <c r="AJ135" s="13">
        <f>AI135*VLOOKUP('Données projet'!$B$10,Paramètres!$A$1:$I$89,3,0)*VLOOKUP('Données projet'!$B$10,Paramètres!$A$1:$I$89,5,0)</f>
        <v>426.81599999999946</v>
      </c>
      <c r="AK135" s="13">
        <f t="shared" si="143"/>
        <v>97.192496986872399</v>
      </c>
      <c r="AL135" s="20">
        <f t="shared" si="112"/>
        <v>912.64813225213504</v>
      </c>
      <c r="AM135" s="57">
        <f t="shared" si="113"/>
        <v>1205.9814655854684</v>
      </c>
      <c r="AN135" s="57">
        <f ca="1">AVERAGE(OFFSET($AM$3,0,0,'Données projet'!$E$10+1,1))-AVERAGE(OFFSET($H$3,0,0,'Données projet'!$E$10+1,1))</f>
        <v>524.3999528951972</v>
      </c>
      <c r="AO135" s="57">
        <f t="shared" si="144"/>
        <v>459.3547783500515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53.069996518489319</v>
      </c>
      <c r="AV135" s="21">
        <f>EXP(-LN(2)/25)*AV134+(1-EXP(-LN(2)/25))/(LN(2)/25)*Calculateur!AQ135*Calculateur!AS135*VLOOKUP('Données projet'!$B$10,Paramètres!$A$1:$I$89,3,0)*0.475*44/12</f>
        <v>3.159874955738819</v>
      </c>
      <c r="AW135" s="21">
        <f>EXP(-LN(2)/2)*AW134+(1-EXP(-LN(2)/2))/(LN(2)/2)*AQ135*AT135*VLOOKUP('Données projet'!$B$10,Paramètres!$A$1:$I$89,3,0)*0.475*44/12</f>
        <v>5.2946119013313735E-16</v>
      </c>
      <c r="AX135" s="21">
        <f t="shared" si="114"/>
        <v>56.22987147422814</v>
      </c>
      <c r="AY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852.00000000000011</v>
      </c>
      <c r="BE135" s="13">
        <f>BD135*VLOOKUP('Données projet'!$B$11,Paramètres!$A$1:$I$89,3,0)*VLOOKUP('Données projet'!$B$11,Paramètres!$A$1:$I$89,5,0)</f>
        <v>409.81200000000013</v>
      </c>
      <c r="BF135" s="13">
        <f t="shared" si="145"/>
        <v>93.76308331402879</v>
      </c>
      <c r="BG135" s="20">
        <f t="shared" si="115"/>
        <v>877.05993677193362</v>
      </c>
      <c r="BH135" s="57">
        <f t="shared" si="116"/>
        <v>1170.393270105267</v>
      </c>
      <c r="BI135" s="57">
        <f ca="1">AVERAGE(OFFSET($BH$3,0,0,'Données projet'!$E$11+1,1))-AVERAGE(OFFSET($H$3,0,0,'Données projet'!$E$11+1,1))</f>
        <v>495.6473104257044</v>
      </c>
      <c r="BJ135" s="57">
        <f t="shared" si="146"/>
        <v>430.92527296485201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55.285927411305131</v>
      </c>
      <c r="BQ135" s="21">
        <f>EXP(-LN(2)/25)*BQ134+(1-EXP(-LN(2)/25))/(LN(2)/25)*Calculateur!BL135*Calculateur!BN135*VLOOKUP('Données projet'!$B$11,Paramètres!$A$1:$I$89,3,0)*0.475*44/12</f>
        <v>2.9770118217261534</v>
      </c>
      <c r="BR135" s="21">
        <f>EXP(-LN(2)/2)*BR134+(1-EXP(-LN(2)/2))/(LN(2)/2)*BL135*BO135*VLOOKUP('Données projet'!$B$11,Paramètres!$A$1:$I$89,3,0)*0.475*44/12</f>
        <v>3.2498948823372749E-16</v>
      </c>
      <c r="BS135" s="22">
        <f t="shared" si="117"/>
        <v>58.262939233031283</v>
      </c>
      <c r="BT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7" t="e">
        <f t="shared" si="119"/>
        <v>#NUM!</v>
      </c>
      <c r="CD135" s="57">
        <f ca="1">AVERAGE(OFFSET($CC$3,0,0,'Données projet'!$E$12+1,1))-AVERAGE(OFFSET($H$3,0,0,'Données projet'!$E$12+1,1))</f>
        <v>187.80389738728508</v>
      </c>
      <c r="CE135" s="57">
        <f t="shared" si="148"/>
        <v>439.28159165815265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16.383784354825334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5.480590159019065E-16</v>
      </c>
      <c r="CN135" s="22">
        <f t="shared" si="120"/>
        <v>16.383784354825334</v>
      </c>
      <c r="CO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267</v>
      </c>
      <c r="CU135" s="17">
        <f>CT135*VLOOKUP('Données projet'!$B$13,Paramètres!$A$1:$I$89,3,0)*VLOOKUP('Données projet'!$B$13,Paramètres!$A$1:$I$89,5,0)</f>
        <v>241.58159999999998</v>
      </c>
      <c r="CV135" s="13">
        <f t="shared" si="149"/>
        <v>58.779689232021951</v>
      </c>
      <c r="CW135" s="20">
        <f t="shared" si="121"/>
        <v>523.12924541243819</v>
      </c>
      <c r="CX135" s="57">
        <f t="shared" si="122"/>
        <v>816.46257874577145</v>
      </c>
      <c r="CY135" s="57">
        <f ca="1">AVERAGE(OFFSET($CX$3,0,0,'Données projet'!$E$13+1,1))-AVERAGE(OFFSET($H$3,0,0,'Données projet'!$E$13+1,1))</f>
        <v>364.3481978218424</v>
      </c>
      <c r="CZ135" s="57">
        <f t="shared" si="150"/>
        <v>231.36959598460686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53.979567238854315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53.979567238854315</v>
      </c>
      <c r="DJ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255.00000000000006</v>
      </c>
      <c r="DP135" s="17">
        <f>DO135*VLOOKUP('Données projet'!$B$14,Paramètres!$A$1:$I$89,3,0)*VLOOKUP('Données projet'!$B$14,Paramètres!$A$1:$I$89,5,0)</f>
        <v>186.96600000000004</v>
      </c>
      <c r="DQ135" s="13">
        <f t="shared" si="151"/>
        <v>46.868551400324648</v>
      </c>
      <c r="DR135" s="20">
        <f t="shared" si="124"/>
        <v>407.26184368889881</v>
      </c>
      <c r="DS135" s="57">
        <f t="shared" si="125"/>
        <v>700.59517702223206</v>
      </c>
      <c r="DT135" s="57">
        <f ca="1">AVERAGE(OFFSET($DS$3,0,0,'Données projet'!$E$14+1,1))-AVERAGE(OFFSET($H$3,0,0,'Données projet'!$E$14+1,1))</f>
        <v>239.25212250019609</v>
      </c>
      <c r="DU135" s="57">
        <f t="shared" si="152"/>
        <v>213.58492101729695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403.99999999999994</v>
      </c>
      <c r="EK135" s="17">
        <f>EJ135*VLOOKUP('Données projet'!$B$15,Paramètres!$A$1:$I$89,3,0)*VLOOKUP('Données projet'!$B$15,Paramètres!$A$1:$I$89,5,0)</f>
        <v>346.63200000000001</v>
      </c>
      <c r="EL135" s="13">
        <f t="shared" si="153"/>
        <v>80.868615263336864</v>
      </c>
      <c r="EM135" s="20">
        <f t="shared" si="127"/>
        <v>744.56357158364483</v>
      </c>
      <c r="EN135" s="57">
        <f t="shared" si="128"/>
        <v>1037.8969049169782</v>
      </c>
      <c r="EO135" s="57">
        <f ca="1">AVERAGE(OFFSET($EN$3,0,0,'Données projet'!$E$15+1,1))-AVERAGE(OFFSET($H$3,0,0,'Données projet'!$E$15+1,1))</f>
        <v>447.10969593632467</v>
      </c>
      <c r="EP135" s="57">
        <f t="shared" si="154"/>
        <v>256.77417912163997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78.453905443681364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78.453905443681364</v>
      </c>
      <c r="EZ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7" t="e">
        <f t="shared" si="131"/>
        <v>#N/A</v>
      </c>
      <c r="FJ135" s="57" t="e">
        <f ca="1">AVERAGE(OFFSET($FI$3,0,0,'Données projet'!$E$16+1,1))-AVERAGE(OFFSET($H$3,0,0,'Données projet'!$E$16+1,1))</f>
        <v>#N/A</v>
      </c>
      <c r="FK135" s="57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7" t="e">
        <f t="shared" si="134"/>
        <v>#N/A</v>
      </c>
      <c r="GE135" s="57" t="e">
        <f ca="1">AVERAGE(OFFSET($GD$3,0,0,'Données projet'!$E$17+1,1))-AVERAGE(OFFSET($H$3,0,0,'Données projet'!$E$17+1,1))</f>
        <v>#N/A</v>
      </c>
      <c r="GF135" s="57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7" t="e">
        <f t="shared" si="137"/>
        <v>#N/A</v>
      </c>
      <c r="GZ135" s="57" t="e">
        <f ca="1">AVERAGE(OFFSET($GY$3,0,0,'Données projet'!$E$18+1,1))-AVERAGE(OFFSET($H$3,0,0,'Données projet'!$E$18+1,1))</f>
        <v>#N/A</v>
      </c>
      <c r="HA135" s="57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0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4">
        <f t="shared" si="110"/>
        <v>256.66666666666669</v>
      </c>
      <c r="I136" s="6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636.99999999999977</v>
      </c>
      <c r="O136" s="13">
        <f>N136*VLOOKUP('Données projet'!$B$9,Paramètres!$A$1:$I$89,3,0)*VLOOKUP('Données projet'!$B$9,Paramètres!$A$1:$I$89,5,0)</f>
        <v>356.08299999999991</v>
      </c>
      <c r="P136" s="13">
        <f t="shared" si="141"/>
        <v>82.813805255716545</v>
      </c>
      <c r="Q136" s="20">
        <f t="shared" si="108"/>
        <v>764.41193582037283</v>
      </c>
      <c r="R136" s="57">
        <f t="shared" si="109"/>
        <v>1057.7452691537062</v>
      </c>
      <c r="S136" s="57">
        <f ca="1">AVERAGE(OFFSET($R$3,0,0,'Données projet'!$E$9+1,1))-AVERAGE(OFFSET($H$3,0,0,'Données projet'!$E$9+1,1))</f>
        <v>443.34220761968419</v>
      </c>
      <c r="T136" s="57">
        <f t="shared" si="142"/>
        <v>546.58234447298014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23.023327673970577</v>
      </c>
      <c r="AA136" s="21">
        <f>EXP(-LN(2)/25)*AA135+(1-EXP(-LN(2)/25))/(LN(2)/25)*Calculateur!V136*Calculateur!X136*VLOOKUP('Données projet'!$B$9,Paramètres!$A$1:$I$89,3,0)*0.475*44/12</f>
        <v>1.261652269811377</v>
      </c>
      <c r="AB136" s="21">
        <f>EXP(-LN(2)/2)*AB135+(1-EXP(-LN(2)/2))/(LN(2)/2)*V136*Y136*VLOOKUP('Données projet'!$B$9,Paramètres!$A$1:$I$89,3,0)*0.475*44/12</f>
        <v>1.89723593131041E-15</v>
      </c>
      <c r="AC136" s="22">
        <f t="shared" si="111"/>
        <v>24.284979943781959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911.99999999999898</v>
      </c>
      <c r="AJ136" s="13">
        <f>AI136*VLOOKUP('Données projet'!$B$10,Paramètres!$A$1:$I$89,3,0)*VLOOKUP('Données projet'!$B$10,Paramètres!$A$1:$I$89,5,0)</f>
        <v>426.81599999999946</v>
      </c>
      <c r="AK136" s="13">
        <f t="shared" si="143"/>
        <v>97.192496986872399</v>
      </c>
      <c r="AL136" s="20">
        <f t="shared" si="112"/>
        <v>912.64813225213504</v>
      </c>
      <c r="AM136" s="57">
        <f t="shared" si="113"/>
        <v>1205.9814655854684</v>
      </c>
      <c r="AN136" s="57">
        <f ca="1">AVERAGE(OFFSET($AM$3,0,0,'Données projet'!$E$10+1,1))-AVERAGE(OFFSET($H$3,0,0,'Données projet'!$E$10+1,1))</f>
        <v>524.3999528951972</v>
      </c>
      <c r="AO136" s="57">
        <f t="shared" si="144"/>
        <v>459.3547783500515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52.029326256263396</v>
      </c>
      <c r="AV136" s="21">
        <f>EXP(-LN(2)/25)*AV135+(1-EXP(-LN(2)/25))/(LN(2)/25)*Calculateur!AQ136*Calculateur!AS136*VLOOKUP('Données projet'!$B$10,Paramètres!$A$1:$I$89,3,0)*0.475*44/12</f>
        <v>3.0734680089035393</v>
      </c>
      <c r="AW136" s="21">
        <f>EXP(-LN(2)/2)*AW135+(1-EXP(-LN(2)/2))/(LN(2)/2)*AQ136*AT136*VLOOKUP('Données projet'!$B$10,Paramètres!$A$1:$I$89,3,0)*0.475*44/12</f>
        <v>3.7438559791824139E-16</v>
      </c>
      <c r="AX136" s="21">
        <f t="shared" si="114"/>
        <v>55.102794265166935</v>
      </c>
      <c r="AY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852.00000000000011</v>
      </c>
      <c r="BE136" s="13">
        <f>BD136*VLOOKUP('Données projet'!$B$11,Paramètres!$A$1:$I$89,3,0)*VLOOKUP('Données projet'!$B$11,Paramètres!$A$1:$I$89,5,0)</f>
        <v>409.81200000000013</v>
      </c>
      <c r="BF136" s="13">
        <f t="shared" si="145"/>
        <v>93.76308331402879</v>
      </c>
      <c r="BG136" s="20">
        <f t="shared" si="115"/>
        <v>877.05993677193362</v>
      </c>
      <c r="BH136" s="57">
        <f t="shared" si="116"/>
        <v>1170.393270105267</v>
      </c>
      <c r="BI136" s="57">
        <f ca="1">AVERAGE(OFFSET($BH$3,0,0,'Données projet'!$E$11+1,1))-AVERAGE(OFFSET($H$3,0,0,'Données projet'!$E$11+1,1))</f>
        <v>495.6473104257044</v>
      </c>
      <c r="BJ136" s="57">
        <f t="shared" si="146"/>
        <v>430.92527296485201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54.201804095855479</v>
      </c>
      <c r="BQ136" s="21">
        <f>EXP(-LN(2)/25)*BQ135+(1-EXP(-LN(2)/25))/(LN(2)/25)*Calculateur!BL136*Calculateur!BN136*VLOOKUP('Données projet'!$B$11,Paramètres!$A$1:$I$89,3,0)*0.475*44/12</f>
        <v>2.8956052769068039</v>
      </c>
      <c r="BR136" s="21">
        <f>EXP(-LN(2)/2)*BR135+(1-EXP(-LN(2)/2))/(LN(2)/2)*BL136*BO136*VLOOKUP('Données projet'!$B$11,Paramètres!$A$1:$I$89,3,0)*0.475*44/12</f>
        <v>2.2980227094441441E-16</v>
      </c>
      <c r="BS136" s="22">
        <f t="shared" si="117"/>
        <v>57.097409372762286</v>
      </c>
      <c r="BT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7" t="e">
        <f t="shared" si="119"/>
        <v>#NUM!</v>
      </c>
      <c r="CD136" s="57">
        <f ca="1">AVERAGE(OFFSET($CC$3,0,0,'Données projet'!$E$12+1,1))-AVERAGE(OFFSET($H$3,0,0,'Données projet'!$E$12+1,1))</f>
        <v>187.80389738728508</v>
      </c>
      <c r="CE136" s="57">
        <f t="shared" si="148"/>
        <v>439.28159165815265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16.062508336748927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3.8753624663466398E-16</v>
      </c>
      <c r="CN136" s="22">
        <f t="shared" si="120"/>
        <v>16.062508336748927</v>
      </c>
      <c r="CO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267</v>
      </c>
      <c r="CU136" s="17">
        <f>CT136*VLOOKUP('Données projet'!$B$13,Paramètres!$A$1:$I$89,3,0)*VLOOKUP('Données projet'!$B$13,Paramètres!$A$1:$I$89,5,0)</f>
        <v>241.58159999999998</v>
      </c>
      <c r="CV136" s="13">
        <f t="shared" si="149"/>
        <v>58.779689232021951</v>
      </c>
      <c r="CW136" s="20">
        <f t="shared" si="121"/>
        <v>523.12924541243819</v>
      </c>
      <c r="CX136" s="57">
        <f t="shared" si="122"/>
        <v>816.46257874577145</v>
      </c>
      <c r="CY136" s="57">
        <f ca="1">AVERAGE(OFFSET($CX$3,0,0,'Données projet'!$E$13+1,1))-AVERAGE(OFFSET($H$3,0,0,'Données projet'!$E$13+1,1))</f>
        <v>364.3481978218424</v>
      </c>
      <c r="CZ136" s="57">
        <f t="shared" si="150"/>
        <v>231.36959598460686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52.921060849585395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52.921060849585395</v>
      </c>
      <c r="DJ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255.00000000000006</v>
      </c>
      <c r="DP136" s="17">
        <f>DO136*VLOOKUP('Données projet'!$B$14,Paramètres!$A$1:$I$89,3,0)*VLOOKUP('Données projet'!$B$14,Paramètres!$A$1:$I$89,5,0)</f>
        <v>186.96600000000004</v>
      </c>
      <c r="DQ136" s="13">
        <f t="shared" si="151"/>
        <v>46.868551400324648</v>
      </c>
      <c r="DR136" s="20">
        <f t="shared" si="124"/>
        <v>407.26184368889881</v>
      </c>
      <c r="DS136" s="57">
        <f t="shared" si="125"/>
        <v>700.59517702223206</v>
      </c>
      <c r="DT136" s="57">
        <f ca="1">AVERAGE(OFFSET($DS$3,0,0,'Données projet'!$E$14+1,1))-AVERAGE(OFFSET($H$3,0,0,'Données projet'!$E$14+1,1))</f>
        <v>239.25212250019609</v>
      </c>
      <c r="DU136" s="57">
        <f t="shared" si="152"/>
        <v>213.58492101729695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403.99999999999994</v>
      </c>
      <c r="EK136" s="17">
        <f>EJ136*VLOOKUP('Données projet'!$B$15,Paramètres!$A$1:$I$89,3,0)*VLOOKUP('Données projet'!$B$15,Paramètres!$A$1:$I$89,5,0)</f>
        <v>346.63200000000001</v>
      </c>
      <c r="EL136" s="13">
        <f t="shared" si="153"/>
        <v>80.868615263336864</v>
      </c>
      <c r="EM136" s="20">
        <f t="shared" si="127"/>
        <v>744.56357158364483</v>
      </c>
      <c r="EN136" s="57">
        <f t="shared" si="128"/>
        <v>1037.8969049169782</v>
      </c>
      <c r="EO136" s="57">
        <f ca="1">AVERAGE(OFFSET($EN$3,0,0,'Données projet'!$E$15+1,1))-AVERAGE(OFFSET($H$3,0,0,'Données projet'!$E$15+1,1))</f>
        <v>447.10969593632467</v>
      </c>
      <c r="EP136" s="57">
        <f t="shared" si="154"/>
        <v>256.77417912163997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76.915472210088083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76.915472210088083</v>
      </c>
      <c r="EZ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7" t="e">
        <f t="shared" si="131"/>
        <v>#N/A</v>
      </c>
      <c r="FJ136" s="57" t="e">
        <f ca="1">AVERAGE(OFFSET($FI$3,0,0,'Données projet'!$E$16+1,1))-AVERAGE(OFFSET($H$3,0,0,'Données projet'!$E$16+1,1))</f>
        <v>#N/A</v>
      </c>
      <c r="FK136" s="57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7" t="e">
        <f t="shared" si="134"/>
        <v>#N/A</v>
      </c>
      <c r="GE136" s="57" t="e">
        <f ca="1">AVERAGE(OFFSET($GD$3,0,0,'Données projet'!$E$17+1,1))-AVERAGE(OFFSET($H$3,0,0,'Données projet'!$E$17+1,1))</f>
        <v>#N/A</v>
      </c>
      <c r="GF136" s="57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7" t="e">
        <f t="shared" si="137"/>
        <v>#N/A</v>
      </c>
      <c r="GZ136" s="57" t="e">
        <f ca="1">AVERAGE(OFFSET($GY$3,0,0,'Données projet'!$E$18+1,1))-AVERAGE(OFFSET($H$3,0,0,'Données projet'!$E$18+1,1))</f>
        <v>#N/A</v>
      </c>
      <c r="HA136" s="57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0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4">
        <f t="shared" si="110"/>
        <v>256.66666666666669</v>
      </c>
      <c r="I137" s="6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636.99999999999977</v>
      </c>
      <c r="O137" s="13">
        <f>N137*VLOOKUP('Données projet'!$B$9,Paramètres!$A$1:$I$89,3,0)*VLOOKUP('Données projet'!$B$9,Paramètres!$A$1:$I$89,5,0)</f>
        <v>356.08299999999991</v>
      </c>
      <c r="P137" s="13">
        <f t="shared" si="141"/>
        <v>82.813805255716545</v>
      </c>
      <c r="Q137" s="20">
        <f t="shared" si="108"/>
        <v>764.41193582037283</v>
      </c>
      <c r="R137" s="57">
        <f t="shared" si="109"/>
        <v>1057.7452691537062</v>
      </c>
      <c r="S137" s="57">
        <f ca="1">AVERAGE(OFFSET($R$3,0,0,'Données projet'!$E$9+1,1))-AVERAGE(OFFSET($H$3,0,0,'Données projet'!$E$9+1,1))</f>
        <v>443.34220761968419</v>
      </c>
      <c r="T137" s="57">
        <f t="shared" si="142"/>
        <v>546.58234447298014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22.571854261127278</v>
      </c>
      <c r="AA137" s="21">
        <f>EXP(-LN(2)/25)*AA136+(1-EXP(-LN(2)/25))/(LN(2)/25)*Calculateur!V137*Calculateur!X137*VLOOKUP('Données projet'!$B$9,Paramètres!$A$1:$I$89,3,0)*0.475*44/12</f>
        <v>1.2271523221459757</v>
      </c>
      <c r="AB137" s="21">
        <f>EXP(-LN(2)/2)*AB136+(1-EXP(-LN(2)/2))/(LN(2)/2)*V137*Y137*VLOOKUP('Données projet'!$B$9,Paramètres!$A$1:$I$89,3,0)*0.475*44/12</f>
        <v>1.3415483925403658E-15</v>
      </c>
      <c r="AC137" s="22">
        <f t="shared" si="111"/>
        <v>23.799006583273254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911.99999999999898</v>
      </c>
      <c r="AJ137" s="13">
        <f>AI137*VLOOKUP('Données projet'!$B$10,Paramètres!$A$1:$I$89,3,0)*VLOOKUP('Données projet'!$B$10,Paramètres!$A$1:$I$89,5,0)</f>
        <v>426.81599999999946</v>
      </c>
      <c r="AK137" s="13">
        <f t="shared" si="143"/>
        <v>97.192496986872399</v>
      </c>
      <c r="AL137" s="20">
        <f t="shared" si="112"/>
        <v>912.64813225213504</v>
      </c>
      <c r="AM137" s="57">
        <f t="shared" si="113"/>
        <v>1205.9814655854684</v>
      </c>
      <c r="AN137" s="57">
        <f ca="1">AVERAGE(OFFSET($AM$3,0,0,'Données projet'!$E$10+1,1))-AVERAGE(OFFSET($H$3,0,0,'Données projet'!$E$10+1,1))</f>
        <v>524.3999528951972</v>
      </c>
      <c r="AO137" s="57">
        <f t="shared" si="144"/>
        <v>459.3547783500515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51.00906290313354</v>
      </c>
      <c r="AV137" s="21">
        <f>EXP(-LN(2)/25)*AV136+(1-EXP(-LN(2)/25))/(LN(2)/25)*Calculateur!AQ137*Calculateur!AS137*VLOOKUP('Données projet'!$B$10,Paramètres!$A$1:$I$89,3,0)*0.475*44/12</f>
        <v>2.9894238645734141</v>
      </c>
      <c r="AW137" s="21">
        <f>EXP(-LN(2)/2)*AW136+(1-EXP(-LN(2)/2))/(LN(2)/2)*AQ137*AT137*VLOOKUP('Données projet'!$B$10,Paramètres!$A$1:$I$89,3,0)*0.475*44/12</f>
        <v>2.6473059506656867E-16</v>
      </c>
      <c r="AX137" s="21">
        <f t="shared" si="114"/>
        <v>53.99848676770695</v>
      </c>
      <c r="AY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852.00000000000011</v>
      </c>
      <c r="BE137" s="13">
        <f>BD137*VLOOKUP('Données projet'!$B$11,Paramètres!$A$1:$I$89,3,0)*VLOOKUP('Données projet'!$B$11,Paramètres!$A$1:$I$89,5,0)</f>
        <v>409.81200000000013</v>
      </c>
      <c r="BF137" s="13">
        <f t="shared" si="145"/>
        <v>93.76308331402879</v>
      </c>
      <c r="BG137" s="20">
        <f t="shared" si="115"/>
        <v>877.05993677193362</v>
      </c>
      <c r="BH137" s="57">
        <f t="shared" si="116"/>
        <v>1170.393270105267</v>
      </c>
      <c r="BI137" s="57">
        <f ca="1">AVERAGE(OFFSET($BH$3,0,0,'Données projet'!$E$11+1,1))-AVERAGE(OFFSET($H$3,0,0,'Données projet'!$E$11+1,1))</f>
        <v>495.6473104257044</v>
      </c>
      <c r="BJ137" s="57">
        <f t="shared" si="146"/>
        <v>430.92527296485201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53.138939777371867</v>
      </c>
      <c r="BQ137" s="21">
        <f>EXP(-LN(2)/25)*BQ136+(1-EXP(-LN(2)/25))/(LN(2)/25)*Calculateur!BL137*Calculateur!BN137*VLOOKUP('Données projet'!$B$11,Paramètres!$A$1:$I$89,3,0)*0.475*44/12</f>
        <v>2.816424798336524</v>
      </c>
      <c r="BR137" s="21">
        <f>EXP(-LN(2)/2)*BR136+(1-EXP(-LN(2)/2))/(LN(2)/2)*BL137*BO137*VLOOKUP('Données projet'!$B$11,Paramètres!$A$1:$I$89,3,0)*0.475*44/12</f>
        <v>1.6249474411686375E-16</v>
      </c>
      <c r="BS137" s="22">
        <f t="shared" si="117"/>
        <v>55.955364575708394</v>
      </c>
      <c r="BT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7" t="e">
        <f t="shared" si="119"/>
        <v>#NUM!</v>
      </c>
      <c r="CD137" s="57">
        <f ca="1">AVERAGE(OFFSET($CC$3,0,0,'Données projet'!$E$12+1,1))-AVERAGE(OFFSET($H$3,0,0,'Données projet'!$E$12+1,1))</f>
        <v>187.80389738728508</v>
      </c>
      <c r="CE137" s="57">
        <f t="shared" si="148"/>
        <v>439.28159165815265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15.747532345427976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2.7402950795095325E-16</v>
      </c>
      <c r="CN137" s="22">
        <f t="shared" si="120"/>
        <v>15.747532345427976</v>
      </c>
      <c r="CO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267</v>
      </c>
      <c r="CU137" s="17">
        <f>CT137*VLOOKUP('Données projet'!$B$13,Paramètres!$A$1:$I$89,3,0)*VLOOKUP('Données projet'!$B$13,Paramètres!$A$1:$I$89,5,0)</f>
        <v>241.58159999999998</v>
      </c>
      <c r="CV137" s="13">
        <f t="shared" si="149"/>
        <v>58.779689232021951</v>
      </c>
      <c r="CW137" s="20">
        <f t="shared" si="121"/>
        <v>523.12924541243819</v>
      </c>
      <c r="CX137" s="57">
        <f t="shared" si="122"/>
        <v>816.46257874577145</v>
      </c>
      <c r="CY137" s="57">
        <f ca="1">AVERAGE(OFFSET($CX$3,0,0,'Données projet'!$E$13+1,1))-AVERAGE(OFFSET($H$3,0,0,'Données projet'!$E$13+1,1))</f>
        <v>364.3481978218424</v>
      </c>
      <c r="CZ137" s="57">
        <f t="shared" si="150"/>
        <v>231.36959598460686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51.883311124984893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51.883311124984893</v>
      </c>
      <c r="DJ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255.00000000000006</v>
      </c>
      <c r="DP137" s="17">
        <f>DO137*VLOOKUP('Données projet'!$B$14,Paramètres!$A$1:$I$89,3,0)*VLOOKUP('Données projet'!$B$14,Paramètres!$A$1:$I$89,5,0)</f>
        <v>186.96600000000004</v>
      </c>
      <c r="DQ137" s="13">
        <f t="shared" si="151"/>
        <v>46.868551400324648</v>
      </c>
      <c r="DR137" s="20">
        <f t="shared" si="124"/>
        <v>407.26184368889881</v>
      </c>
      <c r="DS137" s="57">
        <f t="shared" si="125"/>
        <v>700.59517702223206</v>
      </c>
      <c r="DT137" s="57">
        <f ca="1">AVERAGE(OFFSET($DS$3,0,0,'Données projet'!$E$14+1,1))-AVERAGE(OFFSET($H$3,0,0,'Données projet'!$E$14+1,1))</f>
        <v>239.25212250019609</v>
      </c>
      <c r="DU137" s="57">
        <f t="shared" si="152"/>
        <v>213.58492101729695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403.99999999999994</v>
      </c>
      <c r="EK137" s="17">
        <f>EJ137*VLOOKUP('Données projet'!$B$15,Paramètres!$A$1:$I$89,3,0)*VLOOKUP('Données projet'!$B$15,Paramètres!$A$1:$I$89,5,0)</f>
        <v>346.63200000000001</v>
      </c>
      <c r="EL137" s="13">
        <f t="shared" si="153"/>
        <v>80.868615263336864</v>
      </c>
      <c r="EM137" s="20">
        <f t="shared" si="127"/>
        <v>744.56357158364483</v>
      </c>
      <c r="EN137" s="57">
        <f t="shared" si="128"/>
        <v>1037.8969049169782</v>
      </c>
      <c r="EO137" s="57">
        <f ca="1">AVERAGE(OFFSET($EN$3,0,0,'Données projet'!$E$15+1,1))-AVERAGE(OFFSET($H$3,0,0,'Données projet'!$E$15+1,1))</f>
        <v>447.10969593632467</v>
      </c>
      <c r="EP137" s="57">
        <f t="shared" si="154"/>
        <v>256.77417912163997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75.407206713853952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75.407206713853952</v>
      </c>
      <c r="EZ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7" t="e">
        <f t="shared" si="131"/>
        <v>#N/A</v>
      </c>
      <c r="FJ137" s="57" t="e">
        <f ca="1">AVERAGE(OFFSET($FI$3,0,0,'Données projet'!$E$16+1,1))-AVERAGE(OFFSET($H$3,0,0,'Données projet'!$E$16+1,1))</f>
        <v>#N/A</v>
      </c>
      <c r="FK137" s="57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7" t="e">
        <f t="shared" si="134"/>
        <v>#N/A</v>
      </c>
      <c r="GE137" s="57" t="e">
        <f ca="1">AVERAGE(OFFSET($GD$3,0,0,'Données projet'!$E$17+1,1))-AVERAGE(OFFSET($H$3,0,0,'Données projet'!$E$17+1,1))</f>
        <v>#N/A</v>
      </c>
      <c r="GF137" s="57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7" t="e">
        <f t="shared" si="137"/>
        <v>#N/A</v>
      </c>
      <c r="GZ137" s="57" t="e">
        <f ca="1">AVERAGE(OFFSET($GY$3,0,0,'Données projet'!$E$18+1,1))-AVERAGE(OFFSET($H$3,0,0,'Données projet'!$E$18+1,1))</f>
        <v>#N/A</v>
      </c>
      <c r="HA137" s="57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0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4">
        <f t="shared" si="110"/>
        <v>256.66666666666669</v>
      </c>
      <c r="I138" s="6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636.99999999999977</v>
      </c>
      <c r="O138" s="13">
        <f>N138*VLOOKUP('Données projet'!$B$9,Paramètres!$A$1:$I$89,3,0)*VLOOKUP('Données projet'!$B$9,Paramètres!$A$1:$I$89,5,0)</f>
        <v>356.08299999999991</v>
      </c>
      <c r="P138" s="13">
        <f t="shared" si="141"/>
        <v>82.813805255716545</v>
      </c>
      <c r="Q138" s="20">
        <f t="shared" si="108"/>
        <v>764.41193582037283</v>
      </c>
      <c r="R138" s="57">
        <f t="shared" si="109"/>
        <v>1057.7452691537062</v>
      </c>
      <c r="S138" s="57">
        <f ca="1">AVERAGE(OFFSET($R$3,0,0,'Données projet'!$E$9+1,1))-AVERAGE(OFFSET($H$3,0,0,'Données projet'!$E$9+1,1))</f>
        <v>443.34220761968419</v>
      </c>
      <c r="T138" s="57">
        <f t="shared" si="142"/>
        <v>546.58234447298014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22.129233966538248</v>
      </c>
      <c r="AA138" s="21">
        <f>EXP(-LN(2)/25)*AA137+(1-EXP(-LN(2)/25))/(LN(2)/25)*Calculateur!V138*Calculateur!X138*VLOOKUP('Données projet'!$B$9,Paramètres!$A$1:$I$89,3,0)*0.475*44/12</f>
        <v>1.193595777363758</v>
      </c>
      <c r="AB138" s="21">
        <f>EXP(-LN(2)/2)*AB137+(1-EXP(-LN(2)/2))/(LN(2)/2)*V138*Y138*VLOOKUP('Données projet'!$B$9,Paramètres!$A$1:$I$89,3,0)*0.475*44/12</f>
        <v>9.4861796565520498E-16</v>
      </c>
      <c r="AC138" s="22">
        <f t="shared" si="111"/>
        <v>23.322829743902005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911.99999999999898</v>
      </c>
      <c r="AJ138" s="13">
        <f>AI138*VLOOKUP('Données projet'!$B$10,Paramètres!$A$1:$I$89,3,0)*VLOOKUP('Données projet'!$B$10,Paramètres!$A$1:$I$89,5,0)</f>
        <v>426.81599999999946</v>
      </c>
      <c r="AK138" s="13">
        <f t="shared" si="143"/>
        <v>97.192496986872399</v>
      </c>
      <c r="AL138" s="20">
        <f t="shared" si="112"/>
        <v>912.64813225213504</v>
      </c>
      <c r="AM138" s="57">
        <f t="shared" si="113"/>
        <v>1205.9814655854684</v>
      </c>
      <c r="AN138" s="57">
        <f ca="1">AVERAGE(OFFSET($AM$3,0,0,'Données projet'!$E$10+1,1))-AVERAGE(OFFSET($H$3,0,0,'Données projet'!$E$10+1,1))</f>
        <v>524.3999528951972</v>
      </c>
      <c r="AO138" s="57">
        <f t="shared" si="144"/>
        <v>459.3547783500515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50.008806292059361</v>
      </c>
      <c r="AV138" s="21">
        <f>EXP(-LN(2)/25)*AV137+(1-EXP(-LN(2)/25))/(LN(2)/25)*Calculateur!AQ138*Calculateur!AS138*VLOOKUP('Données projet'!$B$10,Paramètres!$A$1:$I$89,3,0)*0.475*44/12</f>
        <v>2.9076779117896856</v>
      </c>
      <c r="AW138" s="21">
        <f>EXP(-LN(2)/2)*AW137+(1-EXP(-LN(2)/2))/(LN(2)/2)*AQ138*AT138*VLOOKUP('Données projet'!$B$10,Paramètres!$A$1:$I$89,3,0)*0.475*44/12</f>
        <v>1.871927989591207E-16</v>
      </c>
      <c r="AX138" s="21">
        <f t="shared" si="114"/>
        <v>52.916484203849045</v>
      </c>
      <c r="AY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852.00000000000011</v>
      </c>
      <c r="BE138" s="13">
        <f>BD138*VLOOKUP('Données projet'!$B$11,Paramètres!$A$1:$I$89,3,0)*VLOOKUP('Données projet'!$B$11,Paramètres!$A$1:$I$89,5,0)</f>
        <v>409.81200000000013</v>
      </c>
      <c r="BF138" s="13">
        <f t="shared" si="145"/>
        <v>93.76308331402879</v>
      </c>
      <c r="BG138" s="20">
        <f t="shared" si="115"/>
        <v>877.05993677193362</v>
      </c>
      <c r="BH138" s="57">
        <f t="shared" si="116"/>
        <v>1170.393270105267</v>
      </c>
      <c r="BI138" s="57">
        <f ca="1">AVERAGE(OFFSET($BH$3,0,0,'Données projet'!$E$11+1,1))-AVERAGE(OFFSET($H$3,0,0,'Données projet'!$E$11+1,1))</f>
        <v>495.6473104257044</v>
      </c>
      <c r="BJ138" s="57">
        <f t="shared" si="146"/>
        <v>430.92527296485201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52.096917579890494</v>
      </c>
      <c r="BQ138" s="21">
        <f>EXP(-LN(2)/25)*BQ137+(1-EXP(-LN(2)/25))/(LN(2)/25)*Calculateur!BL138*Calculateur!BN138*VLOOKUP('Données projet'!$B$11,Paramètres!$A$1:$I$89,3,0)*0.475*44/12</f>
        <v>2.7394095141166686</v>
      </c>
      <c r="BR138" s="21">
        <f>EXP(-LN(2)/2)*BR137+(1-EXP(-LN(2)/2))/(LN(2)/2)*BL138*BO138*VLOOKUP('Données projet'!$B$11,Paramètres!$A$1:$I$89,3,0)*0.475*44/12</f>
        <v>1.149011354722072E-16</v>
      </c>
      <c r="BS138" s="22">
        <f t="shared" si="117"/>
        <v>54.83632709400716</v>
      </c>
      <c r="BT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7" t="e">
        <f t="shared" si="119"/>
        <v>#NUM!</v>
      </c>
      <c r="CD138" s="57">
        <f ca="1">AVERAGE(OFFSET($CC$3,0,0,'Données projet'!$E$12+1,1))-AVERAGE(OFFSET($H$3,0,0,'Données projet'!$E$12+1,1))</f>
        <v>187.80389738728508</v>
      </c>
      <c r="CE138" s="57">
        <f t="shared" si="148"/>
        <v>439.28159165815265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15.438732841180444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1.9376812331733199E-16</v>
      </c>
      <c r="CN138" s="22">
        <f t="shared" si="120"/>
        <v>15.438732841180444</v>
      </c>
      <c r="CO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267</v>
      </c>
      <c r="CU138" s="17">
        <f>CT138*VLOOKUP('Données projet'!$B$13,Paramètres!$A$1:$I$89,3,0)*VLOOKUP('Données projet'!$B$13,Paramètres!$A$1:$I$89,5,0)</f>
        <v>241.58159999999998</v>
      </c>
      <c r="CV138" s="13">
        <f t="shared" si="149"/>
        <v>58.779689232021951</v>
      </c>
      <c r="CW138" s="20">
        <f t="shared" si="121"/>
        <v>523.12924541243819</v>
      </c>
      <c r="CX138" s="57">
        <f t="shared" si="122"/>
        <v>816.46257874577145</v>
      </c>
      <c r="CY138" s="57">
        <f ca="1">AVERAGE(OFFSET($CX$3,0,0,'Données projet'!$E$13+1,1))-AVERAGE(OFFSET($H$3,0,0,'Données projet'!$E$13+1,1))</f>
        <v>364.3481978218424</v>
      </c>
      <c r="CZ138" s="57">
        <f t="shared" si="150"/>
        <v>231.36959598460686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50.86591103951897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50.86591103951897</v>
      </c>
      <c r="DJ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255.00000000000006</v>
      </c>
      <c r="DP138" s="17">
        <f>DO138*VLOOKUP('Données projet'!$B$14,Paramètres!$A$1:$I$89,3,0)*VLOOKUP('Données projet'!$B$14,Paramètres!$A$1:$I$89,5,0)</f>
        <v>186.96600000000004</v>
      </c>
      <c r="DQ138" s="13">
        <f t="shared" si="151"/>
        <v>46.868551400324648</v>
      </c>
      <c r="DR138" s="20">
        <f t="shared" si="124"/>
        <v>407.26184368889881</v>
      </c>
      <c r="DS138" s="57">
        <f t="shared" si="125"/>
        <v>700.59517702223206</v>
      </c>
      <c r="DT138" s="57">
        <f ca="1">AVERAGE(OFFSET($DS$3,0,0,'Données projet'!$E$14+1,1))-AVERAGE(OFFSET($H$3,0,0,'Données projet'!$E$14+1,1))</f>
        <v>239.25212250019609</v>
      </c>
      <c r="DU138" s="57">
        <f t="shared" si="152"/>
        <v>213.58492101729695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403.99999999999994</v>
      </c>
      <c r="EK138" s="17">
        <f>EJ138*VLOOKUP('Données projet'!$B$15,Paramètres!$A$1:$I$89,3,0)*VLOOKUP('Données projet'!$B$15,Paramètres!$A$1:$I$89,5,0)</f>
        <v>346.63200000000001</v>
      </c>
      <c r="EL138" s="13">
        <f t="shared" si="153"/>
        <v>80.868615263336864</v>
      </c>
      <c r="EM138" s="20">
        <f t="shared" si="127"/>
        <v>744.56357158364483</v>
      </c>
      <c r="EN138" s="57">
        <f t="shared" si="128"/>
        <v>1037.8969049169782</v>
      </c>
      <c r="EO138" s="57">
        <f ca="1">AVERAGE(OFFSET($EN$3,0,0,'Données projet'!$E$15+1,1))-AVERAGE(OFFSET($H$3,0,0,'Données projet'!$E$15+1,1))</f>
        <v>447.10969593632467</v>
      </c>
      <c r="EP138" s="57">
        <f t="shared" si="154"/>
        <v>256.77417912163997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73.928517384049854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73.928517384049854</v>
      </c>
      <c r="EZ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7" t="e">
        <f t="shared" si="131"/>
        <v>#N/A</v>
      </c>
      <c r="FJ138" s="57" t="e">
        <f ca="1">AVERAGE(OFFSET($FI$3,0,0,'Données projet'!$E$16+1,1))-AVERAGE(OFFSET($H$3,0,0,'Données projet'!$E$16+1,1))</f>
        <v>#N/A</v>
      </c>
      <c r="FK138" s="57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7" t="e">
        <f t="shared" si="134"/>
        <v>#N/A</v>
      </c>
      <c r="GE138" s="57" t="e">
        <f ca="1">AVERAGE(OFFSET($GD$3,0,0,'Données projet'!$E$17+1,1))-AVERAGE(OFFSET($H$3,0,0,'Données projet'!$E$17+1,1))</f>
        <v>#N/A</v>
      </c>
      <c r="GF138" s="57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7" t="e">
        <f t="shared" si="137"/>
        <v>#N/A</v>
      </c>
      <c r="GZ138" s="57" t="e">
        <f ca="1">AVERAGE(OFFSET($GY$3,0,0,'Données projet'!$E$18+1,1))-AVERAGE(OFFSET($H$3,0,0,'Données projet'!$E$18+1,1))</f>
        <v>#N/A</v>
      </c>
      <c r="HA138" s="57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0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4">
        <f t="shared" si="110"/>
        <v>256.66666666666669</v>
      </c>
      <c r="I139" s="6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636.99999999999977</v>
      </c>
      <c r="O139" s="13">
        <f>N139*VLOOKUP('Données projet'!$B$9,Paramètres!$A$1:$I$89,3,0)*VLOOKUP('Données projet'!$B$9,Paramètres!$A$1:$I$89,5,0)</f>
        <v>356.08299999999991</v>
      </c>
      <c r="P139" s="13">
        <f t="shared" si="141"/>
        <v>82.813805255716545</v>
      </c>
      <c r="Q139" s="20">
        <f t="shared" si="108"/>
        <v>764.41193582037283</v>
      </c>
      <c r="R139" s="57">
        <f t="shared" si="109"/>
        <v>1057.7452691537062</v>
      </c>
      <c r="S139" s="57">
        <f ca="1">AVERAGE(OFFSET($R$3,0,0,'Données projet'!$E$9+1,1))-AVERAGE(OFFSET($H$3,0,0,'Données projet'!$E$9+1,1))</f>
        <v>443.34220761968419</v>
      </c>
      <c r="T139" s="57">
        <f t="shared" si="142"/>
        <v>546.58234447298014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21.695293185954384</v>
      </c>
      <c r="AA139" s="21">
        <f>EXP(-LN(2)/25)*AA138+(1-EXP(-LN(2)/25))/(LN(2)/25)*Calculateur!V139*Calculateur!X139*VLOOKUP('Données projet'!$B$9,Paramètres!$A$1:$I$89,3,0)*0.475*44/12</f>
        <v>1.160956838063272</v>
      </c>
      <c r="AB139" s="21">
        <f>EXP(-LN(2)/2)*AB138+(1-EXP(-LN(2)/2))/(LN(2)/2)*V139*Y139*VLOOKUP('Données projet'!$B$9,Paramètres!$A$1:$I$89,3,0)*0.475*44/12</f>
        <v>6.7077419627018289E-16</v>
      </c>
      <c r="AC139" s="22">
        <f t="shared" si="111"/>
        <v>22.856250024017655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911.99999999999898</v>
      </c>
      <c r="AJ139" s="13">
        <f>AI139*VLOOKUP('Données projet'!$B$10,Paramètres!$A$1:$I$89,3,0)*VLOOKUP('Données projet'!$B$10,Paramètres!$A$1:$I$89,5,0)</f>
        <v>426.81599999999946</v>
      </c>
      <c r="AK139" s="13">
        <f t="shared" si="143"/>
        <v>97.192496986872399</v>
      </c>
      <c r="AL139" s="20">
        <f t="shared" si="112"/>
        <v>912.64813225213504</v>
      </c>
      <c r="AM139" s="57">
        <f t="shared" si="113"/>
        <v>1205.9814655854684</v>
      </c>
      <c r="AN139" s="57">
        <f ca="1">AVERAGE(OFFSET($AM$3,0,0,'Données projet'!$E$10+1,1))-AVERAGE(OFFSET($H$3,0,0,'Données projet'!$E$10+1,1))</f>
        <v>524.3999528951972</v>
      </c>
      <c r="AO139" s="57">
        <f t="shared" si="144"/>
        <v>459.3547783500515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49.028164103032054</v>
      </c>
      <c r="AV139" s="21">
        <f>EXP(-LN(2)/25)*AV138+(1-EXP(-LN(2)/25))/(LN(2)/25)*Calculateur!AQ139*Calculateur!AS139*VLOOKUP('Données projet'!$B$10,Paramètres!$A$1:$I$89,3,0)*0.475*44/12</f>
        <v>2.8281673063836608</v>
      </c>
      <c r="AW139" s="21">
        <f>EXP(-LN(2)/2)*AW138+(1-EXP(-LN(2)/2))/(LN(2)/2)*AQ139*AT139*VLOOKUP('Données projet'!$B$10,Paramètres!$A$1:$I$89,3,0)*0.475*44/12</f>
        <v>1.3236529753328434E-16</v>
      </c>
      <c r="AX139" s="21">
        <f t="shared" si="114"/>
        <v>51.856331409415716</v>
      </c>
      <c r="AY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852.00000000000011</v>
      </c>
      <c r="BE139" s="13">
        <f>BD139*VLOOKUP('Données projet'!$B$11,Paramètres!$A$1:$I$89,3,0)*VLOOKUP('Données projet'!$B$11,Paramètres!$A$1:$I$89,5,0)</f>
        <v>409.81200000000013</v>
      </c>
      <c r="BF139" s="13">
        <f t="shared" si="145"/>
        <v>93.76308331402879</v>
      </c>
      <c r="BG139" s="20">
        <f t="shared" si="115"/>
        <v>877.05993677193362</v>
      </c>
      <c r="BH139" s="57">
        <f t="shared" si="116"/>
        <v>1170.393270105267</v>
      </c>
      <c r="BI139" s="57">
        <f ca="1">AVERAGE(OFFSET($BH$3,0,0,'Données projet'!$E$11+1,1))-AVERAGE(OFFSET($H$3,0,0,'Données projet'!$E$11+1,1))</f>
        <v>495.6473104257044</v>
      </c>
      <c r="BJ139" s="57">
        <f t="shared" si="146"/>
        <v>430.92527296485201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51.075328802130947</v>
      </c>
      <c r="BQ139" s="21">
        <f>EXP(-LN(2)/25)*BQ138+(1-EXP(-LN(2)/25))/(LN(2)/25)*Calculateur!BL139*Calculateur!BN139*VLOOKUP('Données projet'!$B$11,Paramètres!$A$1:$I$89,3,0)*0.475*44/12</f>
        <v>2.6645002168938627</v>
      </c>
      <c r="BR139" s="21">
        <f>EXP(-LN(2)/2)*BR138+(1-EXP(-LN(2)/2))/(LN(2)/2)*BL139*BO139*VLOOKUP('Données projet'!$B$11,Paramètres!$A$1:$I$89,3,0)*0.475*44/12</f>
        <v>8.1247372058431873E-17</v>
      </c>
      <c r="BS139" s="22">
        <f t="shared" si="117"/>
        <v>53.73982901902481</v>
      </c>
      <c r="BT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7" t="e">
        <f t="shared" si="119"/>
        <v>#NUM!</v>
      </c>
      <c r="CD139" s="57">
        <f ca="1">AVERAGE(OFFSET($CC$3,0,0,'Données projet'!$E$12+1,1))-AVERAGE(OFFSET($H$3,0,0,'Données projet'!$E$12+1,1))</f>
        <v>187.80389738728508</v>
      </c>
      <c r="CE139" s="57">
        <f t="shared" si="148"/>
        <v>439.28159165815265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15.135988706862108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1.3701475397547663E-16</v>
      </c>
      <c r="CN139" s="22">
        <f t="shared" si="120"/>
        <v>15.135988706862108</v>
      </c>
      <c r="CO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267</v>
      </c>
      <c r="CU139" s="17">
        <f>CT139*VLOOKUP('Données projet'!$B$13,Paramètres!$A$1:$I$89,3,0)*VLOOKUP('Données projet'!$B$13,Paramètres!$A$1:$I$89,5,0)</f>
        <v>241.58159999999998</v>
      </c>
      <c r="CV139" s="13">
        <f t="shared" si="149"/>
        <v>58.779689232021951</v>
      </c>
      <c r="CW139" s="20">
        <f t="shared" si="121"/>
        <v>523.12924541243819</v>
      </c>
      <c r="CX139" s="57">
        <f t="shared" si="122"/>
        <v>816.46257874577145</v>
      </c>
      <c r="CY139" s="57">
        <f ca="1">AVERAGE(OFFSET($CX$3,0,0,'Données projet'!$E$13+1,1))-AVERAGE(OFFSET($H$3,0,0,'Données projet'!$E$13+1,1))</f>
        <v>364.3481978218424</v>
      </c>
      <c r="CZ139" s="57">
        <f t="shared" si="150"/>
        <v>231.36959598460686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49.86846154917626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49.86846154917626</v>
      </c>
      <c r="DJ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255.00000000000006</v>
      </c>
      <c r="DP139" s="17">
        <f>DO139*VLOOKUP('Données projet'!$B$14,Paramètres!$A$1:$I$89,3,0)*VLOOKUP('Données projet'!$B$14,Paramètres!$A$1:$I$89,5,0)</f>
        <v>186.96600000000004</v>
      </c>
      <c r="DQ139" s="13">
        <f t="shared" si="151"/>
        <v>46.868551400324648</v>
      </c>
      <c r="DR139" s="20">
        <f t="shared" si="124"/>
        <v>407.26184368889881</v>
      </c>
      <c r="DS139" s="57">
        <f t="shared" si="125"/>
        <v>700.59517702223206</v>
      </c>
      <c r="DT139" s="57">
        <f ca="1">AVERAGE(OFFSET($DS$3,0,0,'Données projet'!$E$14+1,1))-AVERAGE(OFFSET($H$3,0,0,'Données projet'!$E$14+1,1))</f>
        <v>239.25212250019609</v>
      </c>
      <c r="DU139" s="57">
        <f t="shared" si="152"/>
        <v>213.58492101729695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403.99999999999994</v>
      </c>
      <c r="EK139" s="17">
        <f>EJ139*VLOOKUP('Données projet'!$B$15,Paramètres!$A$1:$I$89,3,0)*VLOOKUP('Données projet'!$B$15,Paramètres!$A$1:$I$89,5,0)</f>
        <v>346.63200000000001</v>
      </c>
      <c r="EL139" s="13">
        <f t="shared" si="153"/>
        <v>80.868615263336864</v>
      </c>
      <c r="EM139" s="20">
        <f t="shared" si="127"/>
        <v>744.56357158364483</v>
      </c>
      <c r="EN139" s="57">
        <f t="shared" si="128"/>
        <v>1037.8969049169782</v>
      </c>
      <c r="EO139" s="57">
        <f ca="1">AVERAGE(OFFSET($EN$3,0,0,'Données projet'!$E$15+1,1))-AVERAGE(OFFSET($H$3,0,0,'Données projet'!$E$15+1,1))</f>
        <v>447.10969593632467</v>
      </c>
      <c r="EP139" s="57">
        <f t="shared" si="154"/>
        <v>256.77417912163997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72.478824250091776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72.478824250091776</v>
      </c>
      <c r="EZ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7" t="e">
        <f t="shared" si="131"/>
        <v>#N/A</v>
      </c>
      <c r="FJ139" s="57" t="e">
        <f ca="1">AVERAGE(OFFSET($FI$3,0,0,'Données projet'!$E$16+1,1))-AVERAGE(OFFSET($H$3,0,0,'Données projet'!$E$16+1,1))</f>
        <v>#N/A</v>
      </c>
      <c r="FK139" s="57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7" t="e">
        <f t="shared" si="134"/>
        <v>#N/A</v>
      </c>
      <c r="GE139" s="57" t="e">
        <f ca="1">AVERAGE(OFFSET($GD$3,0,0,'Données projet'!$E$17+1,1))-AVERAGE(OFFSET($H$3,0,0,'Données projet'!$E$17+1,1))</f>
        <v>#N/A</v>
      </c>
      <c r="GF139" s="57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7" t="e">
        <f t="shared" si="137"/>
        <v>#N/A</v>
      </c>
      <c r="GZ139" s="57" t="e">
        <f ca="1">AVERAGE(OFFSET($GY$3,0,0,'Données projet'!$E$18+1,1))-AVERAGE(OFFSET($H$3,0,0,'Données projet'!$E$18+1,1))</f>
        <v>#N/A</v>
      </c>
      <c r="HA139" s="57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0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4">
        <f t="shared" si="110"/>
        <v>256.66666666666669</v>
      </c>
      <c r="I140" s="6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636.99999999999977</v>
      </c>
      <c r="O140" s="13">
        <f>N140*VLOOKUP('Données projet'!$B$9,Paramètres!$A$1:$I$89,3,0)*VLOOKUP('Données projet'!$B$9,Paramètres!$A$1:$I$89,5,0)</f>
        <v>356.08299999999991</v>
      </c>
      <c r="P140" s="13">
        <f t="shared" si="141"/>
        <v>82.813805255716545</v>
      </c>
      <c r="Q140" s="20">
        <f t="shared" si="108"/>
        <v>764.41193582037283</v>
      </c>
      <c r="R140" s="57">
        <f t="shared" si="109"/>
        <v>1057.7452691537062</v>
      </c>
      <c r="S140" s="57">
        <f ca="1">AVERAGE(OFFSET($R$3,0,0,'Données projet'!$E$9+1,1))-AVERAGE(OFFSET($H$3,0,0,'Données projet'!$E$9+1,1))</f>
        <v>443.34220761968419</v>
      </c>
      <c r="T140" s="57">
        <f t="shared" si="142"/>
        <v>546.58234447298014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21.26986171940003</v>
      </c>
      <c r="AA140" s="21">
        <f>EXP(-LN(2)/25)*AA139+(1-EXP(-LN(2)/25))/(LN(2)/25)*Calculateur!V140*Calculateur!X140*VLOOKUP('Données projet'!$B$9,Paramètres!$A$1:$I$89,3,0)*0.475*44/12</f>
        <v>1.1292104122743651</v>
      </c>
      <c r="AB140" s="21">
        <f>EXP(-LN(2)/2)*AB139+(1-EXP(-LN(2)/2))/(LN(2)/2)*V140*Y140*VLOOKUP('Données projet'!$B$9,Paramètres!$A$1:$I$89,3,0)*0.475*44/12</f>
        <v>4.7430898282760249E-16</v>
      </c>
      <c r="AC140" s="22">
        <f t="shared" si="111"/>
        <v>22.399072131674394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911.99999999999898</v>
      </c>
      <c r="AJ140" s="13">
        <f>AI140*VLOOKUP('Données projet'!$B$10,Paramètres!$A$1:$I$89,3,0)*VLOOKUP('Données projet'!$B$10,Paramètres!$A$1:$I$89,5,0)</f>
        <v>426.81599999999946</v>
      </c>
      <c r="AK140" s="13">
        <f t="shared" si="143"/>
        <v>97.192496986872399</v>
      </c>
      <c r="AL140" s="20">
        <f t="shared" si="112"/>
        <v>912.64813225213504</v>
      </c>
      <c r="AM140" s="57">
        <f t="shared" si="113"/>
        <v>1205.9814655854684</v>
      </c>
      <c r="AN140" s="57">
        <f ca="1">AVERAGE(OFFSET($AM$3,0,0,'Données projet'!$E$10+1,1))-AVERAGE(OFFSET($H$3,0,0,'Données projet'!$E$10+1,1))</f>
        <v>524.3999528951972</v>
      </c>
      <c r="AO140" s="57">
        <f t="shared" si="144"/>
        <v>459.3547783500515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48.066751709198904</v>
      </c>
      <c r="AV140" s="21">
        <f>EXP(-LN(2)/25)*AV139+(1-EXP(-LN(2)/25))/(LN(2)/25)*Calculateur!AQ140*Calculateur!AS140*VLOOKUP('Données projet'!$B$10,Paramètres!$A$1:$I$89,3,0)*0.475*44/12</f>
        <v>2.7508309226637446</v>
      </c>
      <c r="AW140" s="21">
        <f>EXP(-LN(2)/2)*AW139+(1-EXP(-LN(2)/2))/(LN(2)/2)*AQ140*AT140*VLOOKUP('Données projet'!$B$10,Paramètres!$A$1:$I$89,3,0)*0.475*44/12</f>
        <v>9.3596399479560348E-17</v>
      </c>
      <c r="AX140" s="21">
        <f t="shared" si="114"/>
        <v>50.817582631862649</v>
      </c>
      <c r="AY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852.00000000000011</v>
      </c>
      <c r="BE140" s="13">
        <f>BD140*VLOOKUP('Données projet'!$B$11,Paramètres!$A$1:$I$89,3,0)*VLOOKUP('Données projet'!$B$11,Paramètres!$A$1:$I$89,5,0)</f>
        <v>409.81200000000013</v>
      </c>
      <c r="BF140" s="13">
        <f t="shared" si="145"/>
        <v>93.76308331402879</v>
      </c>
      <c r="BG140" s="20">
        <f t="shared" si="115"/>
        <v>877.05993677193362</v>
      </c>
      <c r="BH140" s="57">
        <f t="shared" si="116"/>
        <v>1170.393270105267</v>
      </c>
      <c r="BI140" s="57">
        <f ca="1">AVERAGE(OFFSET($BH$3,0,0,'Données projet'!$E$11+1,1))-AVERAGE(OFFSET($H$3,0,0,'Données projet'!$E$11+1,1))</f>
        <v>495.6473104257044</v>
      </c>
      <c r="BJ140" s="57">
        <f t="shared" si="146"/>
        <v>430.92527296485201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50.073772757195641</v>
      </c>
      <c r="BQ140" s="21">
        <f>EXP(-LN(2)/25)*BQ139+(1-EXP(-LN(2)/25))/(LN(2)/25)*Calculateur!BL140*Calculateur!BN140*VLOOKUP('Données projet'!$B$11,Paramètres!$A$1:$I$89,3,0)*0.475*44/12</f>
        <v>2.5916393183429234</v>
      </c>
      <c r="BR140" s="21">
        <f>EXP(-LN(2)/2)*BR139+(1-EXP(-LN(2)/2))/(LN(2)/2)*BL140*BO140*VLOOKUP('Données projet'!$B$11,Paramètres!$A$1:$I$89,3,0)*0.475*44/12</f>
        <v>5.7450567736103602E-17</v>
      </c>
      <c r="BS140" s="22">
        <f t="shared" si="117"/>
        <v>52.665412075538562</v>
      </c>
      <c r="BT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7" t="e">
        <f t="shared" si="119"/>
        <v>#NUM!</v>
      </c>
      <c r="CD140" s="57">
        <f ca="1">AVERAGE(OFFSET($CC$3,0,0,'Données projet'!$E$12+1,1))-AVERAGE(OFFSET($H$3,0,0,'Données projet'!$E$12+1,1))</f>
        <v>187.80389738728508</v>
      </c>
      <c r="CE140" s="57">
        <f t="shared" si="148"/>
        <v>439.28159165815265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14.839181200362065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9.6884061658665994E-17</v>
      </c>
      <c r="CN140" s="22">
        <f t="shared" si="120"/>
        <v>14.839181200362065</v>
      </c>
      <c r="CO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267</v>
      </c>
      <c r="CU140" s="17">
        <f>CT140*VLOOKUP('Données projet'!$B$13,Paramètres!$A$1:$I$89,3,0)*VLOOKUP('Données projet'!$B$13,Paramètres!$A$1:$I$89,5,0)</f>
        <v>241.58159999999998</v>
      </c>
      <c r="CV140" s="13">
        <f t="shared" si="149"/>
        <v>58.779689232021951</v>
      </c>
      <c r="CW140" s="20">
        <f t="shared" si="121"/>
        <v>523.12924541243819</v>
      </c>
      <c r="CX140" s="57">
        <f t="shared" si="122"/>
        <v>816.46257874577145</v>
      </c>
      <c r="CY140" s="57">
        <f ca="1">AVERAGE(OFFSET($CX$3,0,0,'Données projet'!$E$13+1,1))-AVERAGE(OFFSET($H$3,0,0,'Données projet'!$E$13+1,1))</f>
        <v>364.3481978218424</v>
      </c>
      <c r="CZ140" s="57">
        <f t="shared" si="150"/>
        <v>231.36959598460686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48.890571434955056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48.890571434955056</v>
      </c>
      <c r="DJ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255.00000000000006</v>
      </c>
      <c r="DP140" s="17">
        <f>DO140*VLOOKUP('Données projet'!$B$14,Paramètres!$A$1:$I$89,3,0)*VLOOKUP('Données projet'!$B$14,Paramètres!$A$1:$I$89,5,0)</f>
        <v>186.96600000000004</v>
      </c>
      <c r="DQ140" s="13">
        <f t="shared" si="151"/>
        <v>46.868551400324648</v>
      </c>
      <c r="DR140" s="20">
        <f t="shared" si="124"/>
        <v>407.26184368889881</v>
      </c>
      <c r="DS140" s="57">
        <f t="shared" si="125"/>
        <v>700.59517702223206</v>
      </c>
      <c r="DT140" s="57">
        <f ca="1">AVERAGE(OFFSET($DS$3,0,0,'Données projet'!$E$14+1,1))-AVERAGE(OFFSET($H$3,0,0,'Données projet'!$E$14+1,1))</f>
        <v>239.25212250019609</v>
      </c>
      <c r="DU140" s="57">
        <f t="shared" si="152"/>
        <v>213.58492101729695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403.99999999999994</v>
      </c>
      <c r="EK140" s="17">
        <f>EJ140*VLOOKUP('Données projet'!$B$15,Paramètres!$A$1:$I$89,3,0)*VLOOKUP('Données projet'!$B$15,Paramètres!$A$1:$I$89,5,0)</f>
        <v>346.63200000000001</v>
      </c>
      <c r="EL140" s="13">
        <f t="shared" si="153"/>
        <v>80.868615263336864</v>
      </c>
      <c r="EM140" s="20">
        <f t="shared" si="127"/>
        <v>744.56357158364483</v>
      </c>
      <c r="EN140" s="57">
        <f t="shared" si="128"/>
        <v>1037.8969049169782</v>
      </c>
      <c r="EO140" s="57">
        <f ca="1">AVERAGE(OFFSET($EN$3,0,0,'Données projet'!$E$15+1,1))-AVERAGE(OFFSET($H$3,0,0,'Données projet'!$E$15+1,1))</f>
        <v>447.10969593632467</v>
      </c>
      <c r="EP140" s="57">
        <f t="shared" si="154"/>
        <v>256.77417912163997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71.057558714265113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71.057558714265113</v>
      </c>
      <c r="EZ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7" t="e">
        <f t="shared" si="131"/>
        <v>#N/A</v>
      </c>
      <c r="FJ140" s="57" t="e">
        <f ca="1">AVERAGE(OFFSET($FI$3,0,0,'Données projet'!$E$16+1,1))-AVERAGE(OFFSET($H$3,0,0,'Données projet'!$E$16+1,1))</f>
        <v>#N/A</v>
      </c>
      <c r="FK140" s="57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7" t="e">
        <f t="shared" si="134"/>
        <v>#N/A</v>
      </c>
      <c r="GE140" s="57" t="e">
        <f ca="1">AVERAGE(OFFSET($GD$3,0,0,'Données projet'!$E$17+1,1))-AVERAGE(OFFSET($H$3,0,0,'Données projet'!$E$17+1,1))</f>
        <v>#N/A</v>
      </c>
      <c r="GF140" s="57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7" t="e">
        <f t="shared" si="137"/>
        <v>#N/A</v>
      </c>
      <c r="GZ140" s="57" t="e">
        <f ca="1">AVERAGE(OFFSET($GY$3,0,0,'Données projet'!$E$18+1,1))-AVERAGE(OFFSET($H$3,0,0,'Données projet'!$E$18+1,1))</f>
        <v>#N/A</v>
      </c>
      <c r="HA140" s="57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0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4">
        <f t="shared" si="110"/>
        <v>256.66666666666669</v>
      </c>
      <c r="I141" s="6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636.99999999999977</v>
      </c>
      <c r="O141" s="13">
        <f>N141*VLOOKUP('Données projet'!$B$9,Paramètres!$A$1:$I$89,3,0)*VLOOKUP('Données projet'!$B$9,Paramètres!$A$1:$I$89,5,0)</f>
        <v>356.08299999999991</v>
      </c>
      <c r="P141" s="13">
        <f t="shared" si="141"/>
        <v>82.813805255716545</v>
      </c>
      <c r="Q141" s="20">
        <f t="shared" si="108"/>
        <v>764.41193582037283</v>
      </c>
      <c r="R141" s="57">
        <f t="shared" si="109"/>
        <v>1057.7452691537062</v>
      </c>
      <c r="S141" s="57">
        <f ca="1">AVERAGE(OFFSET($R$3,0,0,'Données projet'!$E$9+1,1))-AVERAGE(OFFSET($H$3,0,0,'Données projet'!$E$9+1,1))</f>
        <v>443.34220761968419</v>
      </c>
      <c r="T141" s="57">
        <f t="shared" si="142"/>
        <v>546.58234447298014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20.852772704417234</v>
      </c>
      <c r="AA141" s="21">
        <f>EXP(-LN(2)/25)*AA140+(1-EXP(-LN(2)/25))/(LN(2)/25)*Calculateur!V141*Calculateur!X141*VLOOKUP('Données projet'!$B$9,Paramètres!$A$1:$I$89,3,0)*0.475*44/12</f>
        <v>1.0983320941681278</v>
      </c>
      <c r="AB141" s="21">
        <f>EXP(-LN(2)/2)*AB140+(1-EXP(-LN(2)/2))/(LN(2)/2)*V141*Y141*VLOOKUP('Données projet'!$B$9,Paramètres!$A$1:$I$89,3,0)*0.475*44/12</f>
        <v>3.3538709813509145E-16</v>
      </c>
      <c r="AC141" s="22">
        <f t="shared" si="111"/>
        <v>21.951104798585362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911.99999999999898</v>
      </c>
      <c r="AJ141" s="13">
        <f>AI141*VLOOKUP('Données projet'!$B$10,Paramètres!$A$1:$I$89,3,0)*VLOOKUP('Données projet'!$B$10,Paramètres!$A$1:$I$89,5,0)</f>
        <v>426.81599999999946</v>
      </c>
      <c r="AK141" s="13">
        <f t="shared" si="143"/>
        <v>97.192496986872399</v>
      </c>
      <c r="AL141" s="20">
        <f t="shared" si="112"/>
        <v>912.64813225213504</v>
      </c>
      <c r="AM141" s="57">
        <f t="shared" si="113"/>
        <v>1205.9814655854684</v>
      </c>
      <c r="AN141" s="57">
        <f ca="1">AVERAGE(OFFSET($AM$3,0,0,'Données projet'!$E$10+1,1))-AVERAGE(OFFSET($H$3,0,0,'Données projet'!$E$10+1,1))</f>
        <v>524.3999528951972</v>
      </c>
      <c r="AO141" s="57">
        <f t="shared" si="144"/>
        <v>459.3547783500515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47.124192026005161</v>
      </c>
      <c r="AV141" s="21">
        <f>EXP(-LN(2)/25)*AV140+(1-EXP(-LN(2)/25))/(LN(2)/25)*Calculateur!AQ141*Calculateur!AS141*VLOOKUP('Données projet'!$B$10,Paramètres!$A$1:$I$89,3,0)*0.475*44/12</f>
        <v>2.6756093064235933</v>
      </c>
      <c r="AW141" s="21">
        <f>EXP(-LN(2)/2)*AW140+(1-EXP(-LN(2)/2))/(LN(2)/2)*AQ141*AT141*VLOOKUP('Données projet'!$B$10,Paramètres!$A$1:$I$89,3,0)*0.475*44/12</f>
        <v>6.6182648766642169E-17</v>
      </c>
      <c r="AX141" s="21">
        <f t="shared" si="114"/>
        <v>49.799801332428757</v>
      </c>
      <c r="AY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852.00000000000011</v>
      </c>
      <c r="BE141" s="13">
        <f>BD141*VLOOKUP('Données projet'!$B$11,Paramètres!$A$1:$I$89,3,0)*VLOOKUP('Données projet'!$B$11,Paramètres!$A$1:$I$89,5,0)</f>
        <v>409.81200000000013</v>
      </c>
      <c r="BF141" s="13">
        <f t="shared" si="145"/>
        <v>93.76308331402879</v>
      </c>
      <c r="BG141" s="20">
        <f t="shared" si="115"/>
        <v>877.05993677193362</v>
      </c>
      <c r="BH141" s="57">
        <f t="shared" si="116"/>
        <v>1170.393270105267</v>
      </c>
      <c r="BI141" s="57">
        <f ca="1">AVERAGE(OFFSET($BH$3,0,0,'Données projet'!$E$11+1,1))-AVERAGE(OFFSET($H$3,0,0,'Données projet'!$E$11+1,1))</f>
        <v>495.6473104257044</v>
      </c>
      <c r="BJ141" s="57">
        <f t="shared" si="146"/>
        <v>430.92527296485201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49.091856615412645</v>
      </c>
      <c r="BQ141" s="21">
        <f>EXP(-LN(2)/25)*BQ140+(1-EXP(-LN(2)/25))/(LN(2)/25)*Calculateur!BL141*Calculateur!BN141*VLOOKUP('Données projet'!$B$11,Paramètres!$A$1:$I$89,3,0)*0.475*44/12</f>
        <v>2.5207708048944477</v>
      </c>
      <c r="BR141" s="21">
        <f>EXP(-LN(2)/2)*BR140+(1-EXP(-LN(2)/2))/(LN(2)/2)*BL141*BO141*VLOOKUP('Données projet'!$B$11,Paramètres!$A$1:$I$89,3,0)*0.475*44/12</f>
        <v>4.0623686029215936E-17</v>
      </c>
      <c r="BS141" s="22">
        <f t="shared" si="117"/>
        <v>51.612627420307092</v>
      </c>
      <c r="BT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7" t="e">
        <f t="shared" si="119"/>
        <v>#NUM!</v>
      </c>
      <c r="CD141" s="57">
        <f ca="1">AVERAGE(OFFSET($CC$3,0,0,'Données projet'!$E$12+1,1))-AVERAGE(OFFSET($H$3,0,0,'Données projet'!$E$12+1,1))</f>
        <v>187.80389738728508</v>
      </c>
      <c r="CE141" s="57">
        <f t="shared" si="148"/>
        <v>439.28159165815265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14.548193908029784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6.8507376987738313E-17</v>
      </c>
      <c r="CN141" s="22">
        <f t="shared" si="120"/>
        <v>14.548193908029784</v>
      </c>
      <c r="CO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267</v>
      </c>
      <c r="CU141" s="17">
        <f>CT141*VLOOKUP('Données projet'!$B$13,Paramètres!$A$1:$I$89,3,0)*VLOOKUP('Données projet'!$B$13,Paramètres!$A$1:$I$89,5,0)</f>
        <v>241.58159999999998</v>
      </c>
      <c r="CV141" s="13">
        <f t="shared" si="149"/>
        <v>58.779689232021951</v>
      </c>
      <c r="CW141" s="20">
        <f t="shared" si="121"/>
        <v>523.12924541243819</v>
      </c>
      <c r="CX141" s="57">
        <f t="shared" si="122"/>
        <v>816.46257874577145</v>
      </c>
      <c r="CY141" s="57">
        <f ca="1">AVERAGE(OFFSET($CX$3,0,0,'Données projet'!$E$13+1,1))-AVERAGE(OFFSET($H$3,0,0,'Données projet'!$E$13+1,1))</f>
        <v>364.3481978218424</v>
      </c>
      <c r="CZ141" s="57">
        <f t="shared" si="150"/>
        <v>231.36959598460686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47.931857149419656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47.931857149419656</v>
      </c>
      <c r="DJ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255.00000000000006</v>
      </c>
      <c r="DP141" s="17">
        <f>DO141*VLOOKUP('Données projet'!$B$14,Paramètres!$A$1:$I$89,3,0)*VLOOKUP('Données projet'!$B$14,Paramètres!$A$1:$I$89,5,0)</f>
        <v>186.96600000000004</v>
      </c>
      <c r="DQ141" s="13">
        <f t="shared" si="151"/>
        <v>46.868551400324648</v>
      </c>
      <c r="DR141" s="20">
        <f t="shared" si="124"/>
        <v>407.26184368889881</v>
      </c>
      <c r="DS141" s="57">
        <f t="shared" si="125"/>
        <v>700.59517702223206</v>
      </c>
      <c r="DT141" s="57">
        <f ca="1">AVERAGE(OFFSET($DS$3,0,0,'Données projet'!$E$14+1,1))-AVERAGE(OFFSET($H$3,0,0,'Données projet'!$E$14+1,1))</f>
        <v>239.25212250019609</v>
      </c>
      <c r="DU141" s="57">
        <f t="shared" si="152"/>
        <v>213.58492101729695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403.99999999999994</v>
      </c>
      <c r="EK141" s="17">
        <f>EJ141*VLOOKUP('Données projet'!$B$15,Paramètres!$A$1:$I$89,3,0)*VLOOKUP('Données projet'!$B$15,Paramètres!$A$1:$I$89,5,0)</f>
        <v>346.63200000000001</v>
      </c>
      <c r="EL141" s="13">
        <f t="shared" si="153"/>
        <v>80.868615263336864</v>
      </c>
      <c r="EM141" s="20">
        <f t="shared" si="127"/>
        <v>744.56357158364483</v>
      </c>
      <c r="EN141" s="57">
        <f t="shared" si="128"/>
        <v>1037.8969049169782</v>
      </c>
      <c r="EO141" s="57">
        <f ca="1">AVERAGE(OFFSET($EN$3,0,0,'Données projet'!$E$15+1,1))-AVERAGE(OFFSET($H$3,0,0,'Données projet'!$E$15+1,1))</f>
        <v>447.10969593632467</v>
      </c>
      <c r="EP141" s="57">
        <f t="shared" si="154"/>
        <v>256.77417912163997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69.664163328709634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69.664163328709634</v>
      </c>
      <c r="EZ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7" t="e">
        <f t="shared" si="131"/>
        <v>#N/A</v>
      </c>
      <c r="FJ141" s="57" t="e">
        <f ca="1">AVERAGE(OFFSET($FI$3,0,0,'Données projet'!$E$16+1,1))-AVERAGE(OFFSET($H$3,0,0,'Données projet'!$E$16+1,1))</f>
        <v>#N/A</v>
      </c>
      <c r="FK141" s="57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7" t="e">
        <f t="shared" si="134"/>
        <v>#N/A</v>
      </c>
      <c r="GE141" s="57" t="e">
        <f ca="1">AVERAGE(OFFSET($GD$3,0,0,'Données projet'!$E$17+1,1))-AVERAGE(OFFSET($H$3,0,0,'Données projet'!$E$17+1,1))</f>
        <v>#N/A</v>
      </c>
      <c r="GF141" s="57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7" t="e">
        <f t="shared" si="137"/>
        <v>#N/A</v>
      </c>
      <c r="GZ141" s="57" t="e">
        <f ca="1">AVERAGE(OFFSET($GY$3,0,0,'Données projet'!$E$18+1,1))-AVERAGE(OFFSET($H$3,0,0,'Données projet'!$E$18+1,1))</f>
        <v>#N/A</v>
      </c>
      <c r="HA141" s="57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0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4">
        <f t="shared" si="110"/>
        <v>256.66666666666669</v>
      </c>
      <c r="I142" s="6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636.99999999999977</v>
      </c>
      <c r="O142" s="13">
        <f>N142*VLOOKUP('Données projet'!$B$9,Paramètres!$A$1:$I$89,3,0)*VLOOKUP('Données projet'!$B$9,Paramètres!$A$1:$I$89,5,0)</f>
        <v>356.08299999999991</v>
      </c>
      <c r="P142" s="13">
        <f t="shared" si="141"/>
        <v>82.813805255716545</v>
      </c>
      <c r="Q142" s="20">
        <f t="shared" si="108"/>
        <v>764.41193582037283</v>
      </c>
      <c r="R142" s="57">
        <f t="shared" si="109"/>
        <v>1057.7452691537062</v>
      </c>
      <c r="S142" s="57">
        <f ca="1">AVERAGE(OFFSET($R$3,0,0,'Données projet'!$E$9+1,1))-AVERAGE(OFFSET($H$3,0,0,'Données projet'!$E$9+1,1))</f>
        <v>443.34220761968419</v>
      </c>
      <c r="T142" s="57">
        <f t="shared" si="142"/>
        <v>546.58234447298014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20.44386255061907</v>
      </c>
      <c r="AA142" s="21">
        <f>EXP(-LN(2)/25)*AA141+(1-EXP(-LN(2)/25))/(LN(2)/25)*Calculateur!V142*Calculateur!X142*VLOOKUP('Données projet'!$B$9,Paramètres!$A$1:$I$89,3,0)*0.475*44/12</f>
        <v>1.0682981452943259</v>
      </c>
      <c r="AB142" s="21">
        <f>EXP(-LN(2)/2)*AB141+(1-EXP(-LN(2)/2))/(LN(2)/2)*V142*Y142*VLOOKUP('Données projet'!$B$9,Paramètres!$A$1:$I$89,3,0)*0.475*44/12</f>
        <v>2.3715449141380125E-16</v>
      </c>
      <c r="AC142" s="22">
        <f t="shared" si="111"/>
        <v>21.512160695913394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911.99999999999898</v>
      </c>
      <c r="AJ142" s="13">
        <f>AI142*VLOOKUP('Données projet'!$B$10,Paramètres!$A$1:$I$89,3,0)*VLOOKUP('Données projet'!$B$10,Paramètres!$A$1:$I$89,5,0)</f>
        <v>426.81599999999946</v>
      </c>
      <c r="AK142" s="13">
        <f t="shared" si="143"/>
        <v>97.192496986872399</v>
      </c>
      <c r="AL142" s="20">
        <f t="shared" si="112"/>
        <v>912.64813225213504</v>
      </c>
      <c r="AM142" s="57">
        <f t="shared" si="113"/>
        <v>1205.9814655854684</v>
      </c>
      <c r="AN142" s="57">
        <f ca="1">AVERAGE(OFFSET($AM$3,0,0,'Données projet'!$E$10+1,1))-AVERAGE(OFFSET($H$3,0,0,'Données projet'!$E$10+1,1))</f>
        <v>524.3999528951972</v>
      </c>
      <c r="AO142" s="57">
        <f t="shared" si="144"/>
        <v>459.3547783500515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46.200115363294209</v>
      </c>
      <c r="AV142" s="21">
        <f>EXP(-LN(2)/25)*AV141+(1-EXP(-LN(2)/25))/(LN(2)/25)*Calculateur!AQ142*Calculateur!AS142*VLOOKUP('Données projet'!$B$10,Paramètres!$A$1:$I$89,3,0)*0.475*44/12</f>
        <v>2.6024446292352619</v>
      </c>
      <c r="AW142" s="21">
        <f>EXP(-LN(2)/2)*AW141+(1-EXP(-LN(2)/2))/(LN(2)/2)*AQ142*AT142*VLOOKUP('Données projet'!$B$10,Paramètres!$A$1:$I$89,3,0)*0.475*44/12</f>
        <v>4.6798199739780174E-17</v>
      </c>
      <c r="AX142" s="21">
        <f t="shared" si="114"/>
        <v>48.802559992529474</v>
      </c>
      <c r="AY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852.00000000000011</v>
      </c>
      <c r="BE142" s="13">
        <f>BD142*VLOOKUP('Données projet'!$B$11,Paramètres!$A$1:$I$89,3,0)*VLOOKUP('Données projet'!$B$11,Paramètres!$A$1:$I$89,5,0)</f>
        <v>409.81200000000013</v>
      </c>
      <c r="BF142" s="13">
        <f t="shared" si="145"/>
        <v>93.76308331402879</v>
      </c>
      <c r="BG142" s="20">
        <f t="shared" si="115"/>
        <v>877.05993677193362</v>
      </c>
      <c r="BH142" s="57">
        <f t="shared" si="116"/>
        <v>1170.393270105267</v>
      </c>
      <c r="BI142" s="57">
        <f ca="1">AVERAGE(OFFSET($BH$3,0,0,'Données projet'!$E$11+1,1))-AVERAGE(OFFSET($H$3,0,0,'Données projet'!$E$11+1,1))</f>
        <v>495.6473104257044</v>
      </c>
      <c r="BJ142" s="57">
        <f t="shared" si="146"/>
        <v>430.92527296485201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48.129195250260302</v>
      </c>
      <c r="BQ142" s="21">
        <f>EXP(-LN(2)/25)*BQ141+(1-EXP(-LN(2)/25))/(LN(2)/25)*Calculateur!BL142*Calculateur!BN142*VLOOKUP('Données projet'!$B$11,Paramètres!$A$1:$I$89,3,0)*0.475*44/12</f>
        <v>2.4518401946730335</v>
      </c>
      <c r="BR142" s="21">
        <f>EXP(-LN(2)/2)*BR141+(1-EXP(-LN(2)/2))/(LN(2)/2)*BL142*BO142*VLOOKUP('Données projet'!$B$11,Paramètres!$A$1:$I$89,3,0)*0.475*44/12</f>
        <v>2.8725283868051801E-17</v>
      </c>
      <c r="BS142" s="22">
        <f t="shared" si="117"/>
        <v>50.581035444933335</v>
      </c>
      <c r="BT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7" t="e">
        <f t="shared" si="119"/>
        <v>#NUM!</v>
      </c>
      <c r="CD142" s="57">
        <f ca="1">AVERAGE(OFFSET($CC$3,0,0,'Données projet'!$E$12+1,1))-AVERAGE(OFFSET($H$3,0,0,'Données projet'!$E$12+1,1))</f>
        <v>187.80389738728508</v>
      </c>
      <c r="CE142" s="57">
        <f t="shared" si="148"/>
        <v>439.28159165815265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14.262912699015416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4.8442030829332997E-17</v>
      </c>
      <c r="CN142" s="22">
        <f t="shared" si="120"/>
        <v>14.262912699015416</v>
      </c>
      <c r="CO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267</v>
      </c>
      <c r="CU142" s="17">
        <f>CT142*VLOOKUP('Données projet'!$B$13,Paramètres!$A$1:$I$89,3,0)*VLOOKUP('Données projet'!$B$13,Paramètres!$A$1:$I$89,5,0)</f>
        <v>241.58159999999998</v>
      </c>
      <c r="CV142" s="13">
        <f t="shared" si="149"/>
        <v>58.779689232021951</v>
      </c>
      <c r="CW142" s="20">
        <f t="shared" si="121"/>
        <v>523.12924541243819</v>
      </c>
      <c r="CX142" s="57">
        <f t="shared" si="122"/>
        <v>816.46257874577145</v>
      </c>
      <c r="CY142" s="57">
        <f ca="1">AVERAGE(OFFSET($CX$3,0,0,'Données projet'!$E$13+1,1))-AVERAGE(OFFSET($H$3,0,0,'Données projet'!$E$13+1,1))</f>
        <v>364.3481978218424</v>
      </c>
      <c r="CZ142" s="57">
        <f t="shared" si="150"/>
        <v>231.36959598460686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46.991942666265629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46.991942666265629</v>
      </c>
      <c r="DJ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255.00000000000006</v>
      </c>
      <c r="DP142" s="17">
        <f>DO142*VLOOKUP('Données projet'!$B$14,Paramètres!$A$1:$I$89,3,0)*VLOOKUP('Données projet'!$B$14,Paramètres!$A$1:$I$89,5,0)</f>
        <v>186.96600000000004</v>
      </c>
      <c r="DQ142" s="13">
        <f t="shared" si="151"/>
        <v>46.868551400324648</v>
      </c>
      <c r="DR142" s="20">
        <f t="shared" si="124"/>
        <v>407.26184368889881</v>
      </c>
      <c r="DS142" s="57">
        <f t="shared" si="125"/>
        <v>700.59517702223206</v>
      </c>
      <c r="DT142" s="57">
        <f ca="1">AVERAGE(OFFSET($DS$3,0,0,'Données projet'!$E$14+1,1))-AVERAGE(OFFSET($H$3,0,0,'Données projet'!$E$14+1,1))</f>
        <v>239.25212250019609</v>
      </c>
      <c r="DU142" s="57">
        <f t="shared" si="152"/>
        <v>213.58492101729695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403.99999999999994</v>
      </c>
      <c r="EK142" s="17">
        <f>EJ142*VLOOKUP('Données projet'!$B$15,Paramètres!$A$1:$I$89,3,0)*VLOOKUP('Données projet'!$B$15,Paramètres!$A$1:$I$89,5,0)</f>
        <v>346.63200000000001</v>
      </c>
      <c r="EL142" s="13">
        <f t="shared" si="153"/>
        <v>80.868615263336864</v>
      </c>
      <c r="EM142" s="20">
        <f t="shared" si="127"/>
        <v>744.56357158364483</v>
      </c>
      <c r="EN142" s="57">
        <f t="shared" si="128"/>
        <v>1037.8969049169782</v>
      </c>
      <c r="EO142" s="57">
        <f ca="1">AVERAGE(OFFSET($EN$3,0,0,'Données projet'!$E$15+1,1))-AVERAGE(OFFSET($H$3,0,0,'Données projet'!$E$15+1,1))</f>
        <v>447.10969593632467</v>
      </c>
      <c r="EP142" s="57">
        <f t="shared" si="154"/>
        <v>256.77417912163997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68.298091576777637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68.298091576777637</v>
      </c>
      <c r="EZ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7" t="e">
        <f t="shared" si="131"/>
        <v>#N/A</v>
      </c>
      <c r="FJ142" s="57" t="e">
        <f ca="1">AVERAGE(OFFSET($FI$3,0,0,'Données projet'!$E$16+1,1))-AVERAGE(OFFSET($H$3,0,0,'Données projet'!$E$16+1,1))</f>
        <v>#N/A</v>
      </c>
      <c r="FK142" s="57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7" t="e">
        <f t="shared" si="134"/>
        <v>#N/A</v>
      </c>
      <c r="GE142" s="57" t="e">
        <f ca="1">AVERAGE(OFFSET($GD$3,0,0,'Données projet'!$E$17+1,1))-AVERAGE(OFFSET($H$3,0,0,'Données projet'!$E$17+1,1))</f>
        <v>#N/A</v>
      </c>
      <c r="GF142" s="57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7" t="e">
        <f t="shared" si="137"/>
        <v>#N/A</v>
      </c>
      <c r="GZ142" s="57" t="e">
        <f ca="1">AVERAGE(OFFSET($GY$3,0,0,'Données projet'!$E$18+1,1))-AVERAGE(OFFSET($H$3,0,0,'Données projet'!$E$18+1,1))</f>
        <v>#N/A</v>
      </c>
      <c r="HA142" s="57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0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4">
        <f t="shared" si="110"/>
        <v>256.66666666666669</v>
      </c>
      <c r="I143" s="6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636.99999999999977</v>
      </c>
      <c r="O143" s="13">
        <f>N143*VLOOKUP('Données projet'!$B$9,Paramètres!$A$1:$I$89,3,0)*VLOOKUP('Données projet'!$B$9,Paramètres!$A$1:$I$89,5,0)</f>
        <v>356.08299999999991</v>
      </c>
      <c r="P143" s="13">
        <f t="shared" si="141"/>
        <v>82.813805255716545</v>
      </c>
      <c r="Q143" s="20">
        <f t="shared" si="108"/>
        <v>764.41193582037283</v>
      </c>
      <c r="R143" s="57">
        <f t="shared" si="109"/>
        <v>1057.7452691537062</v>
      </c>
      <c r="S143" s="57">
        <f ca="1">AVERAGE(OFFSET($R$3,0,0,'Données projet'!$E$9+1,1))-AVERAGE(OFFSET($H$3,0,0,'Données projet'!$E$9+1,1))</f>
        <v>443.34220761968419</v>
      </c>
      <c r="T143" s="57">
        <f t="shared" si="142"/>
        <v>546.58234447298014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20.042970875526322</v>
      </c>
      <c r="AA143" s="21">
        <f>EXP(-LN(2)/25)*AA142+(1-EXP(-LN(2)/25))/(LN(2)/25)*Calculateur!V143*Calculateur!X143*VLOOKUP('Données projet'!$B$9,Paramètres!$A$1:$I$89,3,0)*0.475*44/12</f>
        <v>1.0390854763318946</v>
      </c>
      <c r="AB143" s="21">
        <f>EXP(-LN(2)/2)*AB142+(1-EXP(-LN(2)/2))/(LN(2)/2)*V143*Y143*VLOOKUP('Données projet'!$B$9,Paramètres!$A$1:$I$89,3,0)*0.475*44/12</f>
        <v>1.6769354906754572E-16</v>
      </c>
      <c r="AC143" s="22">
        <f t="shared" si="111"/>
        <v>21.082056351858217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911.99999999999898</v>
      </c>
      <c r="AJ143" s="13">
        <f>AI143*VLOOKUP('Données projet'!$B$10,Paramètres!$A$1:$I$89,3,0)*VLOOKUP('Données projet'!$B$10,Paramètres!$A$1:$I$89,5,0)</f>
        <v>426.81599999999946</v>
      </c>
      <c r="AK143" s="13">
        <f t="shared" si="143"/>
        <v>97.192496986872399</v>
      </c>
      <c r="AL143" s="20">
        <f t="shared" si="112"/>
        <v>912.64813225213504</v>
      </c>
      <c r="AM143" s="57">
        <f t="shared" si="113"/>
        <v>1205.9814655854684</v>
      </c>
      <c r="AN143" s="57">
        <f ca="1">AVERAGE(OFFSET($AM$3,0,0,'Données projet'!$E$10+1,1))-AVERAGE(OFFSET($H$3,0,0,'Données projet'!$E$10+1,1))</f>
        <v>524.3999528951972</v>
      </c>
      <c r="AO143" s="57">
        <f t="shared" si="144"/>
        <v>459.3547783500515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45.294159280307909</v>
      </c>
      <c r="AV143" s="21">
        <f>EXP(-LN(2)/25)*AV142+(1-EXP(-LN(2)/25))/(LN(2)/25)*Calculateur!AQ143*Calculateur!AS143*VLOOKUP('Données projet'!$B$10,Paramètres!$A$1:$I$89,3,0)*0.475*44/12</f>
        <v>2.5312806439922086</v>
      </c>
      <c r="AW143" s="21">
        <f>EXP(-LN(2)/2)*AW142+(1-EXP(-LN(2)/2))/(LN(2)/2)*AQ143*AT143*VLOOKUP('Données projet'!$B$10,Paramètres!$A$1:$I$89,3,0)*0.475*44/12</f>
        <v>3.3091324383321084E-17</v>
      </c>
      <c r="AX143" s="21">
        <f t="shared" si="114"/>
        <v>47.82543992430012</v>
      </c>
      <c r="AY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852.00000000000011</v>
      </c>
      <c r="BE143" s="13">
        <f>BD143*VLOOKUP('Données projet'!$B$11,Paramètres!$A$1:$I$89,3,0)*VLOOKUP('Données projet'!$B$11,Paramètres!$A$1:$I$89,5,0)</f>
        <v>409.81200000000013</v>
      </c>
      <c r="BF143" s="13">
        <f t="shared" si="145"/>
        <v>93.76308331402879</v>
      </c>
      <c r="BG143" s="20">
        <f t="shared" si="115"/>
        <v>877.05993677193362</v>
      </c>
      <c r="BH143" s="57">
        <f t="shared" si="116"/>
        <v>1170.393270105267</v>
      </c>
      <c r="BI143" s="57">
        <f ca="1">AVERAGE(OFFSET($BH$3,0,0,'Données projet'!$E$11+1,1))-AVERAGE(OFFSET($H$3,0,0,'Données projet'!$E$11+1,1))</f>
        <v>495.6473104257044</v>
      </c>
      <c r="BJ143" s="57">
        <f t="shared" si="146"/>
        <v>430.92527296485201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47.185411087313142</v>
      </c>
      <c r="BQ143" s="21">
        <f>EXP(-LN(2)/25)*BQ142+(1-EXP(-LN(2)/25))/(LN(2)/25)*Calculateur!BL143*Calculateur!BN143*VLOOKUP('Données projet'!$B$11,Paramètres!$A$1:$I$89,3,0)*0.475*44/12</f>
        <v>2.3847944956130274</v>
      </c>
      <c r="BR143" s="21">
        <f>EXP(-LN(2)/2)*BR142+(1-EXP(-LN(2)/2))/(LN(2)/2)*BL143*BO143*VLOOKUP('Données projet'!$B$11,Paramètres!$A$1:$I$89,3,0)*0.475*44/12</f>
        <v>2.0311843014607968E-17</v>
      </c>
      <c r="BS143" s="22">
        <f t="shared" si="117"/>
        <v>49.570205582926171</v>
      </c>
      <c r="BT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7" t="e">
        <f t="shared" si="119"/>
        <v>#NUM!</v>
      </c>
      <c r="CD143" s="57">
        <f ca="1">AVERAGE(OFFSET($CC$3,0,0,'Données projet'!$E$12+1,1))-AVERAGE(OFFSET($H$3,0,0,'Données projet'!$E$12+1,1))</f>
        <v>187.80389738728508</v>
      </c>
      <c r="CE143" s="57">
        <f t="shared" si="148"/>
        <v>439.28159165815265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13.983225680505464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3.4253688493869156E-17</v>
      </c>
      <c r="CN143" s="22">
        <f t="shared" si="120"/>
        <v>13.983225680505464</v>
      </c>
      <c r="CO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267</v>
      </c>
      <c r="CU143" s="17">
        <f>CT143*VLOOKUP('Données projet'!$B$13,Paramètres!$A$1:$I$89,3,0)*VLOOKUP('Données projet'!$B$13,Paramètres!$A$1:$I$89,5,0)</f>
        <v>241.58159999999998</v>
      </c>
      <c r="CV143" s="13">
        <f t="shared" si="149"/>
        <v>58.779689232021951</v>
      </c>
      <c r="CW143" s="20">
        <f t="shared" si="121"/>
        <v>523.12924541243819</v>
      </c>
      <c r="CX143" s="57">
        <f t="shared" si="122"/>
        <v>816.46257874577145</v>
      </c>
      <c r="CY143" s="57">
        <f ca="1">AVERAGE(OFFSET($CX$3,0,0,'Données projet'!$E$13+1,1))-AVERAGE(OFFSET($H$3,0,0,'Données projet'!$E$13+1,1))</f>
        <v>364.3481978218424</v>
      </c>
      <c r="CZ143" s="57">
        <f t="shared" si="150"/>
        <v>231.36959598460686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46.070459332835021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46.070459332835021</v>
      </c>
      <c r="DJ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255.00000000000006</v>
      </c>
      <c r="DP143" s="17">
        <f>DO143*VLOOKUP('Données projet'!$B$14,Paramètres!$A$1:$I$89,3,0)*VLOOKUP('Données projet'!$B$14,Paramètres!$A$1:$I$89,5,0)</f>
        <v>186.96600000000004</v>
      </c>
      <c r="DQ143" s="13">
        <f t="shared" si="151"/>
        <v>46.868551400324648</v>
      </c>
      <c r="DR143" s="20">
        <f t="shared" si="124"/>
        <v>407.26184368889881</v>
      </c>
      <c r="DS143" s="57">
        <f t="shared" si="125"/>
        <v>700.59517702223206</v>
      </c>
      <c r="DT143" s="57">
        <f ca="1">AVERAGE(OFFSET($DS$3,0,0,'Données projet'!$E$14+1,1))-AVERAGE(OFFSET($H$3,0,0,'Données projet'!$E$14+1,1))</f>
        <v>239.25212250019609</v>
      </c>
      <c r="DU143" s="57">
        <f t="shared" si="152"/>
        <v>213.58492101729695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403.99999999999994</v>
      </c>
      <c r="EK143" s="17">
        <f>EJ143*VLOOKUP('Données projet'!$B$15,Paramètres!$A$1:$I$89,3,0)*VLOOKUP('Données projet'!$B$15,Paramètres!$A$1:$I$89,5,0)</f>
        <v>346.63200000000001</v>
      </c>
      <c r="EL143" s="13">
        <f t="shared" si="153"/>
        <v>80.868615263336864</v>
      </c>
      <c r="EM143" s="20">
        <f t="shared" si="127"/>
        <v>744.56357158364483</v>
      </c>
      <c r="EN143" s="57">
        <f t="shared" si="128"/>
        <v>1037.8969049169782</v>
      </c>
      <c r="EO143" s="57">
        <f ca="1">AVERAGE(OFFSET($EN$3,0,0,'Données projet'!$E$15+1,1))-AVERAGE(OFFSET($H$3,0,0,'Données projet'!$E$15+1,1))</f>
        <v>447.10969593632467</v>
      </c>
      <c r="EP143" s="57">
        <f t="shared" si="154"/>
        <v>256.77417912163997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66.958807658679532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66.958807658679532</v>
      </c>
      <c r="EZ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7" t="e">
        <f t="shared" si="131"/>
        <v>#N/A</v>
      </c>
      <c r="FJ143" s="57" t="e">
        <f ca="1">AVERAGE(OFFSET($FI$3,0,0,'Données projet'!$E$16+1,1))-AVERAGE(OFFSET($H$3,0,0,'Données projet'!$E$16+1,1))</f>
        <v>#N/A</v>
      </c>
      <c r="FK143" s="57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7" t="e">
        <f t="shared" si="134"/>
        <v>#N/A</v>
      </c>
      <c r="GE143" s="57" t="e">
        <f ca="1">AVERAGE(OFFSET($GD$3,0,0,'Données projet'!$E$17+1,1))-AVERAGE(OFFSET($H$3,0,0,'Données projet'!$E$17+1,1))</f>
        <v>#N/A</v>
      </c>
      <c r="GF143" s="57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7" t="e">
        <f t="shared" si="137"/>
        <v>#N/A</v>
      </c>
      <c r="GZ143" s="57" t="e">
        <f ca="1">AVERAGE(OFFSET($GY$3,0,0,'Données projet'!$E$18+1,1))-AVERAGE(OFFSET($H$3,0,0,'Données projet'!$E$18+1,1))</f>
        <v>#N/A</v>
      </c>
      <c r="HA143" s="57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0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4">
        <f t="shared" si="110"/>
        <v>256.66666666666669</v>
      </c>
      <c r="I144" s="6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636.99999999999977</v>
      </c>
      <c r="O144" s="13">
        <f>N144*VLOOKUP('Données projet'!$B$9,Paramètres!$A$1:$I$89,3,0)*VLOOKUP('Données projet'!$B$9,Paramètres!$A$1:$I$89,5,0)</f>
        <v>356.08299999999991</v>
      </c>
      <c r="P144" s="13">
        <f t="shared" si="141"/>
        <v>82.813805255716545</v>
      </c>
      <c r="Q144" s="20">
        <f t="shared" si="108"/>
        <v>764.41193582037283</v>
      </c>
      <c r="R144" s="57">
        <f t="shared" si="109"/>
        <v>1057.7452691537062</v>
      </c>
      <c r="S144" s="57">
        <f ca="1">AVERAGE(OFFSET($R$3,0,0,'Données projet'!$E$9+1,1))-AVERAGE(OFFSET($H$3,0,0,'Données projet'!$E$9+1,1))</f>
        <v>443.34220761968419</v>
      </c>
      <c r="T144" s="57">
        <f t="shared" si="142"/>
        <v>546.58234447298014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19.649940441662366</v>
      </c>
      <c r="AA144" s="21">
        <f>EXP(-LN(2)/25)*AA143+(1-EXP(-LN(2)/25))/(LN(2)/25)*Calculateur!V144*Calculateur!X144*VLOOKUP('Données projet'!$B$9,Paramètres!$A$1:$I$89,3,0)*0.475*44/12</f>
        <v>1.0106716293384685</v>
      </c>
      <c r="AB144" s="21">
        <f>EXP(-LN(2)/2)*AB143+(1-EXP(-LN(2)/2))/(LN(2)/2)*V144*Y144*VLOOKUP('Données projet'!$B$9,Paramètres!$A$1:$I$89,3,0)*0.475*44/12</f>
        <v>1.1857724570690062E-16</v>
      </c>
      <c r="AC144" s="22">
        <f t="shared" si="111"/>
        <v>20.660612071000834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911.99999999999898</v>
      </c>
      <c r="AJ144" s="13">
        <f>AI144*VLOOKUP('Données projet'!$B$10,Paramètres!$A$1:$I$89,3,0)*VLOOKUP('Données projet'!$B$10,Paramètres!$A$1:$I$89,5,0)</f>
        <v>426.81599999999946</v>
      </c>
      <c r="AK144" s="13">
        <f t="shared" si="143"/>
        <v>97.192496986872399</v>
      </c>
      <c r="AL144" s="20">
        <f t="shared" si="112"/>
        <v>912.64813225213504</v>
      </c>
      <c r="AM144" s="57">
        <f t="shared" si="113"/>
        <v>1205.9814655854684</v>
      </c>
      <c r="AN144" s="57">
        <f ca="1">AVERAGE(OFFSET($AM$3,0,0,'Données projet'!$E$10+1,1))-AVERAGE(OFFSET($H$3,0,0,'Données projet'!$E$10+1,1))</f>
        <v>524.3999528951972</v>
      </c>
      <c r="AO144" s="57">
        <f t="shared" si="144"/>
        <v>459.3547783500515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44.40596844353032</v>
      </c>
      <c r="AV144" s="21">
        <f>EXP(-LN(2)/25)*AV143+(1-EXP(-LN(2)/25))/(LN(2)/25)*Calculateur!AQ144*Calculateur!AS144*VLOOKUP('Données projet'!$B$10,Paramètres!$A$1:$I$89,3,0)*0.475*44/12</f>
        <v>2.4620626416679778</v>
      </c>
      <c r="AW144" s="21">
        <f>EXP(-LN(2)/2)*AW143+(1-EXP(-LN(2)/2))/(LN(2)/2)*AQ144*AT144*VLOOKUP('Données projet'!$B$10,Paramètres!$A$1:$I$89,3,0)*0.475*44/12</f>
        <v>2.3399099869890087E-17</v>
      </c>
      <c r="AX144" s="21">
        <f t="shared" si="114"/>
        <v>46.868031085198297</v>
      </c>
      <c r="AY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852.00000000000011</v>
      </c>
      <c r="BE144" s="13">
        <f>BD144*VLOOKUP('Données projet'!$B$11,Paramètres!$A$1:$I$89,3,0)*VLOOKUP('Données projet'!$B$11,Paramètres!$A$1:$I$89,5,0)</f>
        <v>409.81200000000013</v>
      </c>
      <c r="BF144" s="13">
        <f t="shared" si="145"/>
        <v>93.76308331402879</v>
      </c>
      <c r="BG144" s="20">
        <f t="shared" si="115"/>
        <v>877.05993677193362</v>
      </c>
      <c r="BH144" s="57">
        <f t="shared" si="116"/>
        <v>1170.393270105267</v>
      </c>
      <c r="BI144" s="57">
        <f ca="1">AVERAGE(OFFSET($BH$3,0,0,'Données projet'!$E$11+1,1))-AVERAGE(OFFSET($H$3,0,0,'Données projet'!$E$11+1,1))</f>
        <v>495.6473104257044</v>
      </c>
      <c r="BJ144" s="57">
        <f t="shared" si="146"/>
        <v>430.92527296485201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46.260133956149879</v>
      </c>
      <c r="BQ144" s="21">
        <f>EXP(-LN(2)/25)*BQ143+(1-EXP(-LN(2)/25))/(LN(2)/25)*Calculateur!BL144*Calculateur!BN144*VLOOKUP('Données projet'!$B$11,Paramètres!$A$1:$I$89,3,0)*0.475*44/12</f>
        <v>2.3195821647195971</v>
      </c>
      <c r="BR144" s="21">
        <f>EXP(-LN(2)/2)*BR143+(1-EXP(-LN(2)/2))/(LN(2)/2)*BL144*BO144*VLOOKUP('Données projet'!$B$11,Paramètres!$A$1:$I$89,3,0)*0.475*44/12</f>
        <v>1.43626419340259E-17</v>
      </c>
      <c r="BS144" s="22">
        <f t="shared" si="117"/>
        <v>48.579716120869477</v>
      </c>
      <c r="BT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7" t="e">
        <f t="shared" si="119"/>
        <v>#NUM!</v>
      </c>
      <c r="CD144" s="57">
        <f ca="1">AVERAGE(OFFSET($CC$3,0,0,'Données projet'!$E$12+1,1))-AVERAGE(OFFSET($H$3,0,0,'Données projet'!$E$12+1,1))</f>
        <v>187.80389738728508</v>
      </c>
      <c r="CE144" s="57">
        <f t="shared" si="148"/>
        <v>439.28159165815265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13.709023153836256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2.4221015414666499E-17</v>
      </c>
      <c r="CN144" s="22">
        <f t="shared" si="120"/>
        <v>13.709023153836256</v>
      </c>
      <c r="CO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267</v>
      </c>
      <c r="CU144" s="17">
        <f>CT144*VLOOKUP('Données projet'!$B$13,Paramètres!$A$1:$I$89,3,0)*VLOOKUP('Données projet'!$B$13,Paramètres!$A$1:$I$89,5,0)</f>
        <v>241.58159999999998</v>
      </c>
      <c r="CV144" s="13">
        <f t="shared" si="149"/>
        <v>58.779689232021951</v>
      </c>
      <c r="CW144" s="20">
        <f t="shared" si="121"/>
        <v>523.12924541243819</v>
      </c>
      <c r="CX144" s="57">
        <f t="shared" si="122"/>
        <v>816.46257874577145</v>
      </c>
      <c r="CY144" s="57">
        <f ca="1">AVERAGE(OFFSET($CX$3,0,0,'Données projet'!$E$13+1,1))-AVERAGE(OFFSET($H$3,0,0,'Données projet'!$E$13+1,1))</f>
        <v>364.3481978218424</v>
      </c>
      <c r="CZ144" s="57">
        <f t="shared" si="150"/>
        <v>231.36959598460686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45.167045725523657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45.167045725523657</v>
      </c>
      <c r="DJ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255.00000000000006</v>
      </c>
      <c r="DP144" s="17">
        <f>DO144*VLOOKUP('Données projet'!$B$14,Paramètres!$A$1:$I$89,3,0)*VLOOKUP('Données projet'!$B$14,Paramètres!$A$1:$I$89,5,0)</f>
        <v>186.96600000000004</v>
      </c>
      <c r="DQ144" s="13">
        <f t="shared" si="151"/>
        <v>46.868551400324648</v>
      </c>
      <c r="DR144" s="20">
        <f t="shared" si="124"/>
        <v>407.26184368889881</v>
      </c>
      <c r="DS144" s="57">
        <f t="shared" si="125"/>
        <v>700.59517702223206</v>
      </c>
      <c r="DT144" s="57">
        <f ca="1">AVERAGE(OFFSET($DS$3,0,0,'Données projet'!$E$14+1,1))-AVERAGE(OFFSET($H$3,0,0,'Données projet'!$E$14+1,1))</f>
        <v>239.25212250019609</v>
      </c>
      <c r="DU144" s="57">
        <f t="shared" si="152"/>
        <v>213.58492101729695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403.99999999999994</v>
      </c>
      <c r="EK144" s="17">
        <f>EJ144*VLOOKUP('Données projet'!$B$15,Paramètres!$A$1:$I$89,3,0)*VLOOKUP('Données projet'!$B$15,Paramètres!$A$1:$I$89,5,0)</f>
        <v>346.63200000000001</v>
      </c>
      <c r="EL144" s="13">
        <f t="shared" si="153"/>
        <v>80.868615263336864</v>
      </c>
      <c r="EM144" s="20">
        <f t="shared" si="127"/>
        <v>744.56357158364483</v>
      </c>
      <c r="EN144" s="57">
        <f t="shared" si="128"/>
        <v>1037.8969049169782</v>
      </c>
      <c r="EO144" s="57">
        <f ca="1">AVERAGE(OFFSET($EN$3,0,0,'Données projet'!$E$15+1,1))-AVERAGE(OFFSET($H$3,0,0,'Données projet'!$E$15+1,1))</f>
        <v>447.10969593632467</v>
      </c>
      <c r="EP144" s="57">
        <f t="shared" si="154"/>
        <v>256.77417912163997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65.645786281332803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65.645786281332803</v>
      </c>
      <c r="EZ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7" t="e">
        <f t="shared" si="131"/>
        <v>#N/A</v>
      </c>
      <c r="FJ144" s="57" t="e">
        <f ca="1">AVERAGE(OFFSET($FI$3,0,0,'Données projet'!$E$16+1,1))-AVERAGE(OFFSET($H$3,0,0,'Données projet'!$E$16+1,1))</f>
        <v>#N/A</v>
      </c>
      <c r="FK144" s="57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7" t="e">
        <f t="shared" si="134"/>
        <v>#N/A</v>
      </c>
      <c r="GE144" s="57" t="e">
        <f ca="1">AVERAGE(OFFSET($GD$3,0,0,'Données projet'!$E$17+1,1))-AVERAGE(OFFSET($H$3,0,0,'Données projet'!$E$17+1,1))</f>
        <v>#N/A</v>
      </c>
      <c r="GF144" s="57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7" t="e">
        <f t="shared" si="137"/>
        <v>#N/A</v>
      </c>
      <c r="GZ144" s="57" t="e">
        <f ca="1">AVERAGE(OFFSET($GY$3,0,0,'Données projet'!$E$18+1,1))-AVERAGE(OFFSET($H$3,0,0,'Données projet'!$E$18+1,1))</f>
        <v>#N/A</v>
      </c>
      <c r="HA144" s="57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0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4">
        <f t="shared" si="110"/>
        <v>256.66666666666669</v>
      </c>
      <c r="I145" s="6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636.99999999999977</v>
      </c>
      <c r="O145" s="13">
        <f>N145*VLOOKUP('Données projet'!$B$9,Paramètres!$A$1:$I$89,3,0)*VLOOKUP('Données projet'!$B$9,Paramètres!$A$1:$I$89,5,0)</f>
        <v>356.08299999999991</v>
      </c>
      <c r="P145" s="13">
        <f t="shared" si="141"/>
        <v>82.813805255716545</v>
      </c>
      <c r="Q145" s="20">
        <f t="shared" si="108"/>
        <v>764.41193582037283</v>
      </c>
      <c r="R145" s="57">
        <f t="shared" si="109"/>
        <v>1057.7452691537062</v>
      </c>
      <c r="S145" s="57">
        <f ca="1">AVERAGE(OFFSET($R$3,0,0,'Données projet'!$E$9+1,1))-AVERAGE(OFFSET($H$3,0,0,'Données projet'!$E$9+1,1))</f>
        <v>443.34220761968419</v>
      </c>
      <c r="T145" s="57">
        <f t="shared" si="142"/>
        <v>546.58234447298014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19.26461709488159</v>
      </c>
      <c r="AA145" s="21">
        <f>EXP(-LN(2)/25)*AA144+(1-EXP(-LN(2)/25))/(LN(2)/25)*Calculateur!V145*Calculateur!X145*VLOOKUP('Données projet'!$B$9,Paramètres!$A$1:$I$89,3,0)*0.475*44/12</f>
        <v>0.98303476048529703</v>
      </c>
      <c r="AB145" s="21">
        <f>EXP(-LN(2)/2)*AB144+(1-EXP(-LN(2)/2))/(LN(2)/2)*V145*Y145*VLOOKUP('Données projet'!$B$9,Paramètres!$A$1:$I$89,3,0)*0.475*44/12</f>
        <v>8.3846774533772862E-17</v>
      </c>
      <c r="AC145" s="22">
        <f t="shared" si="111"/>
        <v>20.247651855366886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911.99999999999898</v>
      </c>
      <c r="AJ145" s="13">
        <f>AI145*VLOOKUP('Données projet'!$B$10,Paramètres!$A$1:$I$89,3,0)*VLOOKUP('Données projet'!$B$10,Paramètres!$A$1:$I$89,5,0)</f>
        <v>426.81599999999946</v>
      </c>
      <c r="AK145" s="13">
        <f t="shared" si="143"/>
        <v>97.192496986872399</v>
      </c>
      <c r="AL145" s="20">
        <f t="shared" si="112"/>
        <v>912.64813225213504</v>
      </c>
      <c r="AM145" s="57">
        <f t="shared" si="113"/>
        <v>1205.9814655854684</v>
      </c>
      <c r="AN145" s="57">
        <f ca="1">AVERAGE(OFFSET($AM$3,0,0,'Données projet'!$E$10+1,1))-AVERAGE(OFFSET($H$3,0,0,'Données projet'!$E$10+1,1))</f>
        <v>524.3999528951972</v>
      </c>
      <c r="AO145" s="57">
        <f t="shared" si="144"/>
        <v>459.3547783500515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43.535194487319025</v>
      </c>
      <c r="AV145" s="21">
        <f>EXP(-LN(2)/25)*AV144+(1-EXP(-LN(2)/25))/(LN(2)/25)*Calculateur!AQ145*Calculateur!AS145*VLOOKUP('Données projet'!$B$10,Paramètres!$A$1:$I$89,3,0)*0.475*44/12</f>
        <v>2.3947374092573197</v>
      </c>
      <c r="AW145" s="21">
        <f>EXP(-LN(2)/2)*AW144+(1-EXP(-LN(2)/2))/(LN(2)/2)*AQ145*AT145*VLOOKUP('Données projet'!$B$10,Paramètres!$A$1:$I$89,3,0)*0.475*44/12</f>
        <v>1.6545662191660542E-17</v>
      </c>
      <c r="AX145" s="21">
        <f t="shared" si="114"/>
        <v>45.929931896576342</v>
      </c>
      <c r="AY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852.00000000000011</v>
      </c>
      <c r="BE145" s="13">
        <f>BD145*VLOOKUP('Données projet'!$B$11,Paramètres!$A$1:$I$89,3,0)*VLOOKUP('Données projet'!$B$11,Paramètres!$A$1:$I$89,5,0)</f>
        <v>409.81200000000013</v>
      </c>
      <c r="BF145" s="13">
        <f t="shared" si="145"/>
        <v>93.76308331402879</v>
      </c>
      <c r="BG145" s="20">
        <f t="shared" si="115"/>
        <v>877.05993677193362</v>
      </c>
      <c r="BH145" s="57">
        <f t="shared" si="116"/>
        <v>1170.393270105267</v>
      </c>
      <c r="BI145" s="57">
        <f ca="1">AVERAGE(OFFSET($BH$3,0,0,'Données projet'!$E$11+1,1))-AVERAGE(OFFSET($H$3,0,0,'Données projet'!$E$11+1,1))</f>
        <v>495.6473104257044</v>
      </c>
      <c r="BJ145" s="57">
        <f t="shared" si="146"/>
        <v>430.92527296485201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45.353000945165405</v>
      </c>
      <c r="BQ145" s="21">
        <f>EXP(-LN(2)/25)*BQ144+(1-EXP(-LN(2)/25))/(LN(2)/25)*Calculateur!BL145*Calculateur!BN145*VLOOKUP('Données projet'!$B$11,Paramètres!$A$1:$I$89,3,0)*0.475*44/12</f>
        <v>2.2561530684438154</v>
      </c>
      <c r="BR145" s="21">
        <f>EXP(-LN(2)/2)*BR144+(1-EXP(-LN(2)/2))/(LN(2)/2)*BL145*BO145*VLOOKUP('Données projet'!$B$11,Paramètres!$A$1:$I$89,3,0)*0.475*44/12</f>
        <v>1.0155921507303984E-17</v>
      </c>
      <c r="BS145" s="22">
        <f t="shared" si="117"/>
        <v>47.609154013609221</v>
      </c>
      <c r="BT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7" t="e">
        <f t="shared" si="119"/>
        <v>#NUM!</v>
      </c>
      <c r="CD145" s="57">
        <f ca="1">AVERAGE(OFFSET($CC$3,0,0,'Données projet'!$E$12+1,1))-AVERAGE(OFFSET($H$3,0,0,'Données projet'!$E$12+1,1))</f>
        <v>187.80389738728508</v>
      </c>
      <c r="CE145" s="57">
        <f t="shared" si="148"/>
        <v>439.28159165815265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13.440197571468003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1.7126844246934578E-17</v>
      </c>
      <c r="CN145" s="22">
        <f t="shared" si="120"/>
        <v>13.440197571468003</v>
      </c>
      <c r="CO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267</v>
      </c>
      <c r="CU145" s="17">
        <f>CT145*VLOOKUP('Données projet'!$B$13,Paramètres!$A$1:$I$89,3,0)*VLOOKUP('Données projet'!$B$13,Paramètres!$A$1:$I$89,5,0)</f>
        <v>241.58159999999998</v>
      </c>
      <c r="CV145" s="13">
        <f t="shared" si="149"/>
        <v>58.779689232021951</v>
      </c>
      <c r="CW145" s="20">
        <f t="shared" si="121"/>
        <v>523.12924541243819</v>
      </c>
      <c r="CX145" s="57">
        <f t="shared" si="122"/>
        <v>816.46257874577145</v>
      </c>
      <c r="CY145" s="57">
        <f ca="1">AVERAGE(OFFSET($CX$3,0,0,'Données projet'!$E$13+1,1))-AVERAGE(OFFSET($H$3,0,0,'Données projet'!$E$13+1,1))</f>
        <v>364.3481978218424</v>
      </c>
      <c r="CZ145" s="57">
        <f t="shared" si="150"/>
        <v>231.36959598460686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44.281347508023778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44.281347508023778</v>
      </c>
      <c r="DJ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255.00000000000006</v>
      </c>
      <c r="DP145" s="17">
        <f>DO145*VLOOKUP('Données projet'!$B$14,Paramètres!$A$1:$I$89,3,0)*VLOOKUP('Données projet'!$B$14,Paramètres!$A$1:$I$89,5,0)</f>
        <v>186.96600000000004</v>
      </c>
      <c r="DQ145" s="13">
        <f t="shared" si="151"/>
        <v>46.868551400324648</v>
      </c>
      <c r="DR145" s="20">
        <f t="shared" si="124"/>
        <v>407.26184368889881</v>
      </c>
      <c r="DS145" s="57">
        <f t="shared" si="125"/>
        <v>700.59517702223206</v>
      </c>
      <c r="DT145" s="57">
        <f ca="1">AVERAGE(OFFSET($DS$3,0,0,'Données projet'!$E$14+1,1))-AVERAGE(OFFSET($H$3,0,0,'Données projet'!$E$14+1,1))</f>
        <v>239.25212250019609</v>
      </c>
      <c r="DU145" s="57">
        <f t="shared" si="152"/>
        <v>213.58492101729695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403.99999999999994</v>
      </c>
      <c r="EK145" s="17">
        <f>EJ145*VLOOKUP('Données projet'!$B$15,Paramètres!$A$1:$I$89,3,0)*VLOOKUP('Données projet'!$B$15,Paramètres!$A$1:$I$89,5,0)</f>
        <v>346.63200000000001</v>
      </c>
      <c r="EL145" s="13">
        <f t="shared" si="153"/>
        <v>80.868615263336864</v>
      </c>
      <c r="EM145" s="20">
        <f t="shared" si="127"/>
        <v>744.56357158364483</v>
      </c>
      <c r="EN145" s="57">
        <f t="shared" si="128"/>
        <v>1037.8969049169782</v>
      </c>
      <c r="EO145" s="57">
        <f ca="1">AVERAGE(OFFSET($EN$3,0,0,'Données projet'!$E$15+1,1))-AVERAGE(OFFSET($H$3,0,0,'Données projet'!$E$15+1,1))</f>
        <v>447.10969593632467</v>
      </c>
      <c r="EP145" s="57">
        <f t="shared" si="154"/>
        <v>256.77417912163997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64.35851245233188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64.35851245233188</v>
      </c>
      <c r="EZ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7" t="e">
        <f t="shared" si="131"/>
        <v>#N/A</v>
      </c>
      <c r="FJ145" s="57" t="e">
        <f ca="1">AVERAGE(OFFSET($FI$3,0,0,'Données projet'!$E$16+1,1))-AVERAGE(OFFSET($H$3,0,0,'Données projet'!$E$16+1,1))</f>
        <v>#N/A</v>
      </c>
      <c r="FK145" s="57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7" t="e">
        <f t="shared" si="134"/>
        <v>#N/A</v>
      </c>
      <c r="GE145" s="57" t="e">
        <f ca="1">AVERAGE(OFFSET($GD$3,0,0,'Données projet'!$E$17+1,1))-AVERAGE(OFFSET($H$3,0,0,'Données projet'!$E$17+1,1))</f>
        <v>#N/A</v>
      </c>
      <c r="GF145" s="57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7" t="e">
        <f t="shared" si="137"/>
        <v>#N/A</v>
      </c>
      <c r="GZ145" s="57" t="e">
        <f ca="1">AVERAGE(OFFSET($GY$3,0,0,'Données projet'!$E$18+1,1))-AVERAGE(OFFSET($H$3,0,0,'Données projet'!$E$18+1,1))</f>
        <v>#N/A</v>
      </c>
      <c r="HA145" s="57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0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4">
        <f t="shared" si="110"/>
        <v>256.66666666666669</v>
      </c>
      <c r="I146" s="6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636.99999999999977</v>
      </c>
      <c r="O146" s="13">
        <f>N146*VLOOKUP('Données projet'!$B$9,Paramètres!$A$1:$I$89,3,0)*VLOOKUP('Données projet'!$B$9,Paramètres!$A$1:$I$89,5,0)</f>
        <v>356.08299999999991</v>
      </c>
      <c r="P146" s="13">
        <f t="shared" si="141"/>
        <v>82.813805255716545</v>
      </c>
      <c r="Q146" s="20">
        <f t="shared" si="108"/>
        <v>764.41193582037283</v>
      </c>
      <c r="R146" s="57">
        <f t="shared" si="109"/>
        <v>1057.7452691537062</v>
      </c>
      <c r="S146" s="57">
        <f ca="1">AVERAGE(OFFSET($R$3,0,0,'Données projet'!$E$9+1,1))-AVERAGE(OFFSET($H$3,0,0,'Données projet'!$E$9+1,1))</f>
        <v>443.34220761968419</v>
      </c>
      <c r="T146" s="57">
        <f t="shared" si="142"/>
        <v>546.58234447298014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18.886849703907149</v>
      </c>
      <c r="AA146" s="21">
        <f>EXP(-LN(2)/25)*AA145+(1-EXP(-LN(2)/25))/(LN(2)/25)*Calculateur!V146*Calculateur!X146*VLOOKUP('Données projet'!$B$9,Paramètres!$A$1:$I$89,3,0)*0.475*44/12</f>
        <v>0.95615362326427533</v>
      </c>
      <c r="AB146" s="21">
        <f>EXP(-LN(2)/2)*AB145+(1-EXP(-LN(2)/2))/(LN(2)/2)*V146*Y146*VLOOKUP('Données projet'!$B$9,Paramètres!$A$1:$I$89,3,0)*0.475*44/12</f>
        <v>5.9288622853450311E-17</v>
      </c>
      <c r="AC146" s="22">
        <f t="shared" si="111"/>
        <v>19.843003327171424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911.99999999999898</v>
      </c>
      <c r="AJ146" s="13">
        <f>AI146*VLOOKUP('Données projet'!$B$10,Paramètres!$A$1:$I$89,3,0)*VLOOKUP('Données projet'!$B$10,Paramètres!$A$1:$I$89,5,0)</f>
        <v>426.81599999999946</v>
      </c>
      <c r="AK146" s="13">
        <f t="shared" si="143"/>
        <v>97.192496986872399</v>
      </c>
      <c r="AL146" s="20">
        <f t="shared" si="112"/>
        <v>912.64813225213504</v>
      </c>
      <c r="AM146" s="57">
        <f t="shared" si="113"/>
        <v>1205.9814655854684</v>
      </c>
      <c r="AN146" s="57">
        <f ca="1">AVERAGE(OFFSET($AM$3,0,0,'Données projet'!$E$10+1,1))-AVERAGE(OFFSET($H$3,0,0,'Données projet'!$E$10+1,1))</f>
        <v>524.3999528951972</v>
      </c>
      <c r="AO146" s="57">
        <f t="shared" si="144"/>
        <v>459.3547783500515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42.681495877269363</v>
      </c>
      <c r="AV146" s="21">
        <f>EXP(-LN(2)/25)*AV145+(1-EXP(-LN(2)/25))/(LN(2)/25)*Calculateur!AQ146*Calculateur!AS146*VLOOKUP('Données projet'!$B$10,Paramètres!$A$1:$I$89,3,0)*0.475*44/12</f>
        <v>2.3292531888674111</v>
      </c>
      <c r="AW146" s="21">
        <f>EXP(-LN(2)/2)*AW145+(1-EXP(-LN(2)/2))/(LN(2)/2)*AQ146*AT146*VLOOKUP('Données projet'!$B$10,Paramètres!$A$1:$I$89,3,0)*0.475*44/12</f>
        <v>1.1699549934945043E-17</v>
      </c>
      <c r="AX146" s="21">
        <f t="shared" si="114"/>
        <v>45.010749066136775</v>
      </c>
      <c r="AY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852.00000000000011</v>
      </c>
      <c r="BE146" s="13">
        <f>BD146*VLOOKUP('Données projet'!$B$11,Paramètres!$A$1:$I$89,3,0)*VLOOKUP('Données projet'!$B$11,Paramètres!$A$1:$I$89,5,0)</f>
        <v>409.81200000000013</v>
      </c>
      <c r="BF146" s="13">
        <f t="shared" si="145"/>
        <v>93.76308331402879</v>
      </c>
      <c r="BG146" s="20">
        <f t="shared" si="115"/>
        <v>877.05993677193362</v>
      </c>
      <c r="BH146" s="57">
        <f t="shared" si="116"/>
        <v>1170.393270105267</v>
      </c>
      <c r="BI146" s="57">
        <f ca="1">AVERAGE(OFFSET($BH$3,0,0,'Données projet'!$E$11+1,1))-AVERAGE(OFFSET($H$3,0,0,'Données projet'!$E$11+1,1))</f>
        <v>495.6473104257044</v>
      </c>
      <c r="BJ146" s="57">
        <f t="shared" si="146"/>
        <v>430.92527296485201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44.463656259229836</v>
      </c>
      <c r="BQ146" s="21">
        <f>EXP(-LN(2)/25)*BQ145+(1-EXP(-LN(2)/25))/(LN(2)/25)*Calculateur!BL146*Calculateur!BN146*VLOOKUP('Données projet'!$B$11,Paramètres!$A$1:$I$89,3,0)*0.475*44/12</f>
        <v>2.194458444141286</v>
      </c>
      <c r="BR146" s="21">
        <f>EXP(-LN(2)/2)*BR145+(1-EXP(-LN(2)/2))/(LN(2)/2)*BL146*BO146*VLOOKUP('Données projet'!$B$11,Paramètres!$A$1:$I$89,3,0)*0.475*44/12</f>
        <v>7.1813209670129502E-18</v>
      </c>
      <c r="BS146" s="22">
        <f t="shared" si="117"/>
        <v>46.658114703371119</v>
      </c>
      <c r="BT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7" t="e">
        <f t="shared" si="119"/>
        <v>#NUM!</v>
      </c>
      <c r="CD146" s="57">
        <f ca="1">AVERAGE(OFFSET($CC$3,0,0,'Données projet'!$E$12+1,1))-AVERAGE(OFFSET($H$3,0,0,'Données projet'!$E$12+1,1))</f>
        <v>187.80389738728508</v>
      </c>
      <c r="CE146" s="57">
        <f t="shared" si="148"/>
        <v>439.28159165815265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13.176643494802578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1.2110507707333249E-17</v>
      </c>
      <c r="CN146" s="22">
        <f t="shared" si="120"/>
        <v>13.176643494802578</v>
      </c>
      <c r="CO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267</v>
      </c>
      <c r="CU146" s="17">
        <f>CT146*VLOOKUP('Données projet'!$B$13,Paramètres!$A$1:$I$89,3,0)*VLOOKUP('Données projet'!$B$13,Paramètres!$A$1:$I$89,5,0)</f>
        <v>241.58159999999998</v>
      </c>
      <c r="CV146" s="13">
        <f t="shared" si="149"/>
        <v>58.779689232021951</v>
      </c>
      <c r="CW146" s="20">
        <f t="shared" si="121"/>
        <v>523.12924541243819</v>
      </c>
      <c r="CX146" s="57">
        <f t="shared" si="122"/>
        <v>816.46257874577145</v>
      </c>
      <c r="CY146" s="57">
        <f ca="1">AVERAGE(OFFSET($CX$3,0,0,'Données projet'!$E$13+1,1))-AVERAGE(OFFSET($H$3,0,0,'Données projet'!$E$13+1,1))</f>
        <v>364.3481978218424</v>
      </c>
      <c r="CZ146" s="57">
        <f t="shared" si="150"/>
        <v>231.36959598460686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43.413017292346495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43.413017292346495</v>
      </c>
      <c r="DJ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255.00000000000006</v>
      </c>
      <c r="DP146" s="17">
        <f>DO146*VLOOKUP('Données projet'!$B$14,Paramètres!$A$1:$I$89,3,0)*VLOOKUP('Données projet'!$B$14,Paramètres!$A$1:$I$89,5,0)</f>
        <v>186.96600000000004</v>
      </c>
      <c r="DQ146" s="13">
        <f t="shared" si="151"/>
        <v>46.868551400324648</v>
      </c>
      <c r="DR146" s="20">
        <f t="shared" si="124"/>
        <v>407.26184368889881</v>
      </c>
      <c r="DS146" s="57">
        <f t="shared" si="125"/>
        <v>700.59517702223206</v>
      </c>
      <c r="DT146" s="57">
        <f ca="1">AVERAGE(OFFSET($DS$3,0,0,'Données projet'!$E$14+1,1))-AVERAGE(OFFSET($H$3,0,0,'Données projet'!$E$14+1,1))</f>
        <v>239.25212250019609</v>
      </c>
      <c r="DU146" s="57">
        <f t="shared" si="152"/>
        <v>213.58492101729695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403.99999999999994</v>
      </c>
      <c r="EK146" s="17">
        <f>EJ146*VLOOKUP('Données projet'!$B$15,Paramètres!$A$1:$I$89,3,0)*VLOOKUP('Données projet'!$B$15,Paramètres!$A$1:$I$89,5,0)</f>
        <v>346.63200000000001</v>
      </c>
      <c r="EL146" s="13">
        <f t="shared" si="153"/>
        <v>80.868615263336864</v>
      </c>
      <c r="EM146" s="20">
        <f t="shared" si="127"/>
        <v>744.56357158364483</v>
      </c>
      <c r="EN146" s="57">
        <f t="shared" si="128"/>
        <v>1037.8969049169782</v>
      </c>
      <c r="EO146" s="57">
        <f ca="1">AVERAGE(OFFSET($EN$3,0,0,'Données projet'!$E$15+1,1))-AVERAGE(OFFSET($H$3,0,0,'Données projet'!$E$15+1,1))</f>
        <v>447.10969593632467</v>
      </c>
      <c r="EP146" s="57">
        <f t="shared" si="154"/>
        <v>256.77417912163997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63.096481277958155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63.096481277958155</v>
      </c>
      <c r="EZ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7" t="e">
        <f t="shared" si="131"/>
        <v>#N/A</v>
      </c>
      <c r="FJ146" s="57" t="e">
        <f ca="1">AVERAGE(OFFSET($FI$3,0,0,'Données projet'!$E$16+1,1))-AVERAGE(OFFSET($H$3,0,0,'Données projet'!$E$16+1,1))</f>
        <v>#N/A</v>
      </c>
      <c r="FK146" s="57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7" t="e">
        <f t="shared" si="134"/>
        <v>#N/A</v>
      </c>
      <c r="GE146" s="57" t="e">
        <f ca="1">AVERAGE(OFFSET($GD$3,0,0,'Données projet'!$E$17+1,1))-AVERAGE(OFFSET($H$3,0,0,'Données projet'!$E$17+1,1))</f>
        <v>#N/A</v>
      </c>
      <c r="GF146" s="57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7" t="e">
        <f t="shared" si="137"/>
        <v>#N/A</v>
      </c>
      <c r="GZ146" s="57" t="e">
        <f ca="1">AVERAGE(OFFSET($GY$3,0,0,'Données projet'!$E$18+1,1))-AVERAGE(OFFSET($H$3,0,0,'Données projet'!$E$18+1,1))</f>
        <v>#N/A</v>
      </c>
      <c r="HA146" s="57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0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4">
        <f t="shared" si="110"/>
        <v>256.66666666666669</v>
      </c>
      <c r="I147" s="6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636.99999999999977</v>
      </c>
      <c r="O147" s="13">
        <f>N147*VLOOKUP('Données projet'!$B$9,Paramètres!$A$1:$I$89,3,0)*VLOOKUP('Données projet'!$B$9,Paramètres!$A$1:$I$89,5,0)</f>
        <v>356.08299999999991</v>
      </c>
      <c r="P147" s="13">
        <f t="shared" si="141"/>
        <v>82.813805255716545</v>
      </c>
      <c r="Q147" s="20">
        <f t="shared" si="108"/>
        <v>764.41193582037283</v>
      </c>
      <c r="R147" s="57">
        <f t="shared" si="109"/>
        <v>1057.7452691537062</v>
      </c>
      <c r="S147" s="57">
        <f ca="1">AVERAGE(OFFSET($R$3,0,0,'Données projet'!$E$9+1,1))-AVERAGE(OFFSET($H$3,0,0,'Données projet'!$E$9+1,1))</f>
        <v>443.34220761968419</v>
      </c>
      <c r="T147" s="57">
        <f t="shared" si="142"/>
        <v>546.58234447298014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18.516490101054359</v>
      </c>
      <c r="AA147" s="21">
        <f>EXP(-LN(2)/25)*AA146+(1-EXP(-LN(2)/25))/(LN(2)/25)*Calculateur!V147*Calculateur!X147*VLOOKUP('Données projet'!$B$9,Paramètres!$A$1:$I$89,3,0)*0.475*44/12</f>
        <v>0.93000755215417996</v>
      </c>
      <c r="AB147" s="21">
        <f>EXP(-LN(2)/2)*AB146+(1-EXP(-LN(2)/2))/(LN(2)/2)*V147*Y147*VLOOKUP('Données projet'!$B$9,Paramètres!$A$1:$I$89,3,0)*0.475*44/12</f>
        <v>4.1923387266886431E-17</v>
      </c>
      <c r="AC147" s="22">
        <f t="shared" si="111"/>
        <v>19.446497653208539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911.99999999999898</v>
      </c>
      <c r="AJ147" s="13">
        <f>AI147*VLOOKUP('Données projet'!$B$10,Paramètres!$A$1:$I$89,3,0)*VLOOKUP('Données projet'!$B$10,Paramètres!$A$1:$I$89,5,0)</f>
        <v>426.81599999999946</v>
      </c>
      <c r="AK147" s="13">
        <f t="shared" si="143"/>
        <v>97.192496986872399</v>
      </c>
      <c r="AL147" s="20">
        <f t="shared" si="112"/>
        <v>912.64813225213504</v>
      </c>
      <c r="AM147" s="57">
        <f t="shared" si="113"/>
        <v>1205.9814655854684</v>
      </c>
      <c r="AN147" s="57">
        <f ca="1">AVERAGE(OFFSET($AM$3,0,0,'Données projet'!$E$10+1,1))-AVERAGE(OFFSET($H$3,0,0,'Données projet'!$E$10+1,1))</f>
        <v>524.3999528951972</v>
      </c>
      <c r="AO147" s="57">
        <f t="shared" si="144"/>
        <v>459.3547783500515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41.844537776258036</v>
      </c>
      <c r="AV147" s="21">
        <f>EXP(-LN(2)/25)*AV146+(1-EXP(-LN(2)/25))/(LN(2)/25)*Calculateur!AQ147*Calculateur!AS147*VLOOKUP('Données projet'!$B$10,Paramètres!$A$1:$I$89,3,0)*0.475*44/12</f>
        <v>2.2655596379277303</v>
      </c>
      <c r="AW147" s="21">
        <f>EXP(-LN(2)/2)*AW146+(1-EXP(-LN(2)/2))/(LN(2)/2)*AQ147*AT147*VLOOKUP('Données projet'!$B$10,Paramètres!$A$1:$I$89,3,0)*0.475*44/12</f>
        <v>8.2728310958302711E-18</v>
      </c>
      <c r="AX147" s="21">
        <f t="shared" si="114"/>
        <v>44.110097414185766</v>
      </c>
      <c r="AY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852.00000000000011</v>
      </c>
      <c r="BE147" s="13">
        <f>BD147*VLOOKUP('Données projet'!$B$11,Paramètres!$A$1:$I$89,3,0)*VLOOKUP('Données projet'!$B$11,Paramètres!$A$1:$I$89,5,0)</f>
        <v>409.81200000000013</v>
      </c>
      <c r="BF147" s="13">
        <f t="shared" si="145"/>
        <v>93.76308331402879</v>
      </c>
      <c r="BG147" s="20">
        <f t="shared" si="115"/>
        <v>877.05993677193362</v>
      </c>
      <c r="BH147" s="57">
        <f t="shared" si="116"/>
        <v>1170.393270105267</v>
      </c>
      <c r="BI147" s="57">
        <f ca="1">AVERAGE(OFFSET($BH$3,0,0,'Données projet'!$E$11+1,1))-AVERAGE(OFFSET($H$3,0,0,'Données projet'!$E$11+1,1))</f>
        <v>495.6473104257044</v>
      </c>
      <c r="BJ147" s="57">
        <f t="shared" si="146"/>
        <v>430.92527296485201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43.591751080138764</v>
      </c>
      <c r="BQ147" s="21">
        <f>EXP(-LN(2)/25)*BQ146+(1-EXP(-LN(2)/25))/(LN(2)/25)*Calculateur!BL147*Calculateur!BN147*VLOOKUP('Données projet'!$B$11,Paramètres!$A$1:$I$89,3,0)*0.475*44/12</f>
        <v>2.1344508625846883</v>
      </c>
      <c r="BR147" s="21">
        <f>EXP(-LN(2)/2)*BR146+(1-EXP(-LN(2)/2))/(LN(2)/2)*BL147*BO147*VLOOKUP('Données projet'!$B$11,Paramètres!$A$1:$I$89,3,0)*0.475*44/12</f>
        <v>5.077960753651992E-18</v>
      </c>
      <c r="BS147" s="22">
        <f t="shared" si="117"/>
        <v>45.726201942723449</v>
      </c>
      <c r="BT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7" t="e">
        <f t="shared" si="119"/>
        <v>#NUM!</v>
      </c>
      <c r="CD147" s="57">
        <f ca="1">AVERAGE(OFFSET($CC$3,0,0,'Données projet'!$E$12+1,1))-AVERAGE(OFFSET($H$3,0,0,'Données projet'!$E$12+1,1))</f>
        <v>187.80389738728508</v>
      </c>
      <c r="CE147" s="57">
        <f t="shared" si="148"/>
        <v>439.28159165815265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12.918257552828447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8.5634221234672891E-18</v>
      </c>
      <c r="CN147" s="22">
        <f t="shared" si="120"/>
        <v>12.918257552828447</v>
      </c>
      <c r="CO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267</v>
      </c>
      <c r="CU147" s="17">
        <f>CT147*VLOOKUP('Données projet'!$B$13,Paramètres!$A$1:$I$89,3,0)*VLOOKUP('Données projet'!$B$13,Paramètres!$A$1:$I$89,5,0)</f>
        <v>241.58159999999998</v>
      </c>
      <c r="CV147" s="13">
        <f t="shared" si="149"/>
        <v>58.779689232021951</v>
      </c>
      <c r="CW147" s="20">
        <f t="shared" si="121"/>
        <v>523.12924541243819</v>
      </c>
      <c r="CX147" s="57">
        <f t="shared" si="122"/>
        <v>816.46257874577145</v>
      </c>
      <c r="CY147" s="57">
        <f ca="1">AVERAGE(OFFSET($CX$3,0,0,'Données projet'!$E$13+1,1))-AVERAGE(OFFSET($H$3,0,0,'Données projet'!$E$13+1,1))</f>
        <v>364.3481978218424</v>
      </c>
      <c r="CZ147" s="57">
        <f t="shared" si="150"/>
        <v>231.36959598460686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42.561714502569515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42.561714502569515</v>
      </c>
      <c r="DJ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255.00000000000006</v>
      </c>
      <c r="DP147" s="17">
        <f>DO147*VLOOKUP('Données projet'!$B$14,Paramètres!$A$1:$I$89,3,0)*VLOOKUP('Données projet'!$B$14,Paramètres!$A$1:$I$89,5,0)</f>
        <v>186.96600000000004</v>
      </c>
      <c r="DQ147" s="13">
        <f t="shared" si="151"/>
        <v>46.868551400324648</v>
      </c>
      <c r="DR147" s="20">
        <f t="shared" si="124"/>
        <v>407.26184368889881</v>
      </c>
      <c r="DS147" s="57">
        <f t="shared" si="125"/>
        <v>700.59517702223206</v>
      </c>
      <c r="DT147" s="57">
        <f ca="1">AVERAGE(OFFSET($DS$3,0,0,'Données projet'!$E$14+1,1))-AVERAGE(OFFSET($H$3,0,0,'Données projet'!$E$14+1,1))</f>
        <v>239.25212250019609</v>
      </c>
      <c r="DU147" s="57">
        <f t="shared" si="152"/>
        <v>213.58492101729695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403.99999999999994</v>
      </c>
      <c r="EK147" s="17">
        <f>EJ147*VLOOKUP('Données projet'!$B$15,Paramètres!$A$1:$I$89,3,0)*VLOOKUP('Données projet'!$B$15,Paramètres!$A$1:$I$89,5,0)</f>
        <v>346.63200000000001</v>
      </c>
      <c r="EL147" s="13">
        <f t="shared" si="153"/>
        <v>80.868615263336864</v>
      </c>
      <c r="EM147" s="20">
        <f t="shared" si="127"/>
        <v>744.56357158364483</v>
      </c>
      <c r="EN147" s="57">
        <f t="shared" si="128"/>
        <v>1037.8969049169782</v>
      </c>
      <c r="EO147" s="57">
        <f ca="1">AVERAGE(OFFSET($EN$3,0,0,'Données projet'!$E$15+1,1))-AVERAGE(OFFSET($H$3,0,0,'Données projet'!$E$15+1,1))</f>
        <v>447.10969593632467</v>
      </c>
      <c r="EP147" s="57">
        <f t="shared" si="154"/>
        <v>256.77417912163997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61.859197765150888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61.859197765150888</v>
      </c>
      <c r="EZ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7" t="e">
        <f t="shared" si="131"/>
        <v>#N/A</v>
      </c>
      <c r="FJ147" s="57" t="e">
        <f ca="1">AVERAGE(OFFSET($FI$3,0,0,'Données projet'!$E$16+1,1))-AVERAGE(OFFSET($H$3,0,0,'Données projet'!$E$16+1,1))</f>
        <v>#N/A</v>
      </c>
      <c r="FK147" s="57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7" t="e">
        <f t="shared" si="134"/>
        <v>#N/A</v>
      </c>
      <c r="GE147" s="57" t="e">
        <f ca="1">AVERAGE(OFFSET($GD$3,0,0,'Données projet'!$E$17+1,1))-AVERAGE(OFFSET($H$3,0,0,'Données projet'!$E$17+1,1))</f>
        <v>#N/A</v>
      </c>
      <c r="GF147" s="57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7" t="e">
        <f t="shared" si="137"/>
        <v>#N/A</v>
      </c>
      <c r="GZ147" s="57" t="e">
        <f ca="1">AVERAGE(OFFSET($GY$3,0,0,'Données projet'!$E$18+1,1))-AVERAGE(OFFSET($H$3,0,0,'Données projet'!$E$18+1,1))</f>
        <v>#N/A</v>
      </c>
      <c r="HA147" s="57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0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4">
        <f t="shared" si="110"/>
        <v>256.66666666666669</v>
      </c>
      <c r="I148" s="6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636.99999999999977</v>
      </c>
      <c r="O148" s="13">
        <f>N148*VLOOKUP('Données projet'!$B$9,Paramètres!$A$1:$I$89,3,0)*VLOOKUP('Données projet'!$B$9,Paramètres!$A$1:$I$89,5,0)</f>
        <v>356.08299999999991</v>
      </c>
      <c r="P148" s="13">
        <f t="shared" si="141"/>
        <v>82.813805255716545</v>
      </c>
      <c r="Q148" s="20">
        <f t="shared" si="108"/>
        <v>764.41193582037283</v>
      </c>
      <c r="R148" s="57">
        <f t="shared" si="109"/>
        <v>1057.7452691537062</v>
      </c>
      <c r="S148" s="57">
        <f ca="1">AVERAGE(OFFSET($R$3,0,0,'Données projet'!$E$9+1,1))-AVERAGE(OFFSET($H$3,0,0,'Données projet'!$E$9+1,1))</f>
        <v>443.34220761968419</v>
      </c>
      <c r="T148" s="57">
        <f t="shared" si="142"/>
        <v>546.58234447298014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18.153393024116461</v>
      </c>
      <c r="AA148" s="21">
        <f>EXP(-LN(2)/25)*AA147+(1-EXP(-LN(2)/25))/(LN(2)/25)*Calculateur!V148*Calculateur!X148*VLOOKUP('Données projet'!$B$9,Paramètres!$A$1:$I$89,3,0)*0.475*44/12</f>
        <v>0.90457644673355231</v>
      </c>
      <c r="AB148" s="21">
        <f>EXP(-LN(2)/2)*AB147+(1-EXP(-LN(2)/2))/(LN(2)/2)*V148*Y148*VLOOKUP('Données projet'!$B$9,Paramètres!$A$1:$I$89,3,0)*0.475*44/12</f>
        <v>2.9644311426725156E-17</v>
      </c>
      <c r="AC148" s="22">
        <f t="shared" si="111"/>
        <v>19.057969470850015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911.99999999999898</v>
      </c>
      <c r="AJ148" s="13">
        <f>AI148*VLOOKUP('Données projet'!$B$10,Paramètres!$A$1:$I$89,3,0)*VLOOKUP('Données projet'!$B$10,Paramètres!$A$1:$I$89,5,0)</f>
        <v>426.81599999999946</v>
      </c>
      <c r="AK148" s="13">
        <f t="shared" si="143"/>
        <v>97.192496986872399</v>
      </c>
      <c r="AL148" s="20">
        <f t="shared" si="112"/>
        <v>912.64813225213504</v>
      </c>
      <c r="AM148" s="57">
        <f t="shared" si="113"/>
        <v>1205.9814655854684</v>
      </c>
      <c r="AN148" s="57">
        <f ca="1">AVERAGE(OFFSET($AM$3,0,0,'Données projet'!$E$10+1,1))-AVERAGE(OFFSET($H$3,0,0,'Données projet'!$E$10+1,1))</f>
        <v>524.3999528951972</v>
      </c>
      <c r="AO148" s="57">
        <f t="shared" si="144"/>
        <v>459.3547783500515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41.023991913113505</v>
      </c>
      <c r="AV148" s="21">
        <f>EXP(-LN(2)/25)*AV147+(1-EXP(-LN(2)/25))/(LN(2)/25)*Calculateur!AQ148*Calculateur!AS148*VLOOKUP('Données projet'!$B$10,Paramètres!$A$1:$I$89,3,0)*0.475*44/12</f>
        <v>2.2036077904879932</v>
      </c>
      <c r="AW148" s="21">
        <f>EXP(-LN(2)/2)*AW147+(1-EXP(-LN(2)/2))/(LN(2)/2)*AQ148*AT148*VLOOKUP('Données projet'!$B$10,Paramètres!$A$1:$I$89,3,0)*0.475*44/12</f>
        <v>5.8497749674725217E-18</v>
      </c>
      <c r="AX148" s="21">
        <f t="shared" si="114"/>
        <v>43.227599703601499</v>
      </c>
      <c r="AY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852.00000000000011</v>
      </c>
      <c r="BE148" s="13">
        <f>BD148*VLOOKUP('Données projet'!$B$11,Paramètres!$A$1:$I$89,3,0)*VLOOKUP('Données projet'!$B$11,Paramètres!$A$1:$I$89,5,0)</f>
        <v>409.81200000000013</v>
      </c>
      <c r="BF148" s="13">
        <f t="shared" si="145"/>
        <v>93.76308331402879</v>
      </c>
      <c r="BG148" s="20">
        <f t="shared" si="115"/>
        <v>877.05993677193362</v>
      </c>
      <c r="BH148" s="57">
        <f t="shared" si="116"/>
        <v>1170.393270105267</v>
      </c>
      <c r="BI148" s="57">
        <f ca="1">AVERAGE(OFFSET($BH$3,0,0,'Données projet'!$E$11+1,1))-AVERAGE(OFFSET($H$3,0,0,'Données projet'!$E$11+1,1))</f>
        <v>495.6473104257044</v>
      </c>
      <c r="BJ148" s="57">
        <f t="shared" si="146"/>
        <v>430.92527296485201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42.736943429800021</v>
      </c>
      <c r="BQ148" s="21">
        <f>EXP(-LN(2)/25)*BQ147+(1-EXP(-LN(2)/25))/(LN(2)/25)*Calculateur!BL148*Calculateur!BN148*VLOOKUP('Données projet'!$B$11,Paramètres!$A$1:$I$89,3,0)*0.475*44/12</f>
        <v>2.0760841915014177</v>
      </c>
      <c r="BR148" s="21">
        <f>EXP(-LN(2)/2)*BR147+(1-EXP(-LN(2)/2))/(LN(2)/2)*BL148*BO148*VLOOKUP('Données projet'!$B$11,Paramètres!$A$1:$I$89,3,0)*0.475*44/12</f>
        <v>3.5906604835064751E-18</v>
      </c>
      <c r="BS148" s="22">
        <f t="shared" si="117"/>
        <v>44.813027621301437</v>
      </c>
      <c r="BT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7" t="e">
        <f t="shared" si="119"/>
        <v>#NUM!</v>
      </c>
      <c r="CD148" s="57">
        <f ca="1">AVERAGE(OFFSET($CC$3,0,0,'Données projet'!$E$12+1,1))-AVERAGE(OFFSET($H$3,0,0,'Données projet'!$E$12+1,1))</f>
        <v>187.80389738728508</v>
      </c>
      <c r="CE148" s="57">
        <f t="shared" si="148"/>
        <v>439.28159165815265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12.664938401576565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6.0552538536666246E-18</v>
      </c>
      <c r="CN148" s="22">
        <f t="shared" si="120"/>
        <v>12.664938401576565</v>
      </c>
      <c r="CO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267</v>
      </c>
      <c r="CU148" s="17">
        <f>CT148*VLOOKUP('Données projet'!$B$13,Paramètres!$A$1:$I$89,3,0)*VLOOKUP('Données projet'!$B$13,Paramètres!$A$1:$I$89,5,0)</f>
        <v>241.58159999999998</v>
      </c>
      <c r="CV148" s="13">
        <f t="shared" si="149"/>
        <v>58.779689232021951</v>
      </c>
      <c r="CW148" s="20">
        <f t="shared" si="121"/>
        <v>523.12924541243819</v>
      </c>
      <c r="CX148" s="57">
        <f t="shared" si="122"/>
        <v>816.46257874577145</v>
      </c>
      <c r="CY148" s="57">
        <f ca="1">AVERAGE(OFFSET($CX$3,0,0,'Données projet'!$E$13+1,1))-AVERAGE(OFFSET($H$3,0,0,'Données projet'!$E$13+1,1))</f>
        <v>364.3481978218424</v>
      </c>
      <c r="CZ148" s="57">
        <f t="shared" si="150"/>
        <v>231.36959598460686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41.727105241256631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41.727105241256631</v>
      </c>
      <c r="DJ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255.00000000000006</v>
      </c>
      <c r="DP148" s="17">
        <f>DO148*VLOOKUP('Données projet'!$B$14,Paramètres!$A$1:$I$89,3,0)*VLOOKUP('Données projet'!$B$14,Paramètres!$A$1:$I$89,5,0)</f>
        <v>186.96600000000004</v>
      </c>
      <c r="DQ148" s="13">
        <f t="shared" si="151"/>
        <v>46.868551400324648</v>
      </c>
      <c r="DR148" s="20">
        <f t="shared" si="124"/>
        <v>407.26184368889881</v>
      </c>
      <c r="DS148" s="57">
        <f t="shared" si="125"/>
        <v>700.59517702223206</v>
      </c>
      <c r="DT148" s="57">
        <f ca="1">AVERAGE(OFFSET($DS$3,0,0,'Données projet'!$E$14+1,1))-AVERAGE(OFFSET($H$3,0,0,'Données projet'!$E$14+1,1))</f>
        <v>239.25212250019609</v>
      </c>
      <c r="DU148" s="57">
        <f t="shared" si="152"/>
        <v>213.58492101729695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403.99999999999994</v>
      </c>
      <c r="EK148" s="17">
        <f>EJ148*VLOOKUP('Données projet'!$B$15,Paramètres!$A$1:$I$89,3,0)*VLOOKUP('Données projet'!$B$15,Paramètres!$A$1:$I$89,5,0)</f>
        <v>346.63200000000001</v>
      </c>
      <c r="EL148" s="13">
        <f t="shared" si="153"/>
        <v>80.868615263336864</v>
      </c>
      <c r="EM148" s="20">
        <f t="shared" si="127"/>
        <v>744.56357158364483</v>
      </c>
      <c r="EN148" s="57">
        <f t="shared" si="128"/>
        <v>1037.8969049169782</v>
      </c>
      <c r="EO148" s="57">
        <f ca="1">AVERAGE(OFFSET($EN$3,0,0,'Données projet'!$E$15+1,1))-AVERAGE(OFFSET($H$3,0,0,'Données projet'!$E$15+1,1))</f>
        <v>447.10969593632467</v>
      </c>
      <c r="EP148" s="57">
        <f t="shared" si="154"/>
        <v>256.77417912163997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60.646176627361349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60.646176627361349</v>
      </c>
      <c r="EZ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7" t="e">
        <f t="shared" si="131"/>
        <v>#N/A</v>
      </c>
      <c r="FJ148" s="57" t="e">
        <f ca="1">AVERAGE(OFFSET($FI$3,0,0,'Données projet'!$E$16+1,1))-AVERAGE(OFFSET($H$3,0,0,'Données projet'!$E$16+1,1))</f>
        <v>#N/A</v>
      </c>
      <c r="FK148" s="57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7" t="e">
        <f t="shared" si="134"/>
        <v>#N/A</v>
      </c>
      <c r="GE148" s="57" t="e">
        <f ca="1">AVERAGE(OFFSET($GD$3,0,0,'Données projet'!$E$17+1,1))-AVERAGE(OFFSET($H$3,0,0,'Données projet'!$E$17+1,1))</f>
        <v>#N/A</v>
      </c>
      <c r="GF148" s="57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7" t="e">
        <f t="shared" si="137"/>
        <v>#N/A</v>
      </c>
      <c r="GZ148" s="57" t="e">
        <f ca="1">AVERAGE(OFFSET($GY$3,0,0,'Données projet'!$E$18+1,1))-AVERAGE(OFFSET($H$3,0,0,'Données projet'!$E$18+1,1))</f>
        <v>#N/A</v>
      </c>
      <c r="HA148" s="57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0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4">
        <f t="shared" si="110"/>
        <v>256.66666666666669</v>
      </c>
      <c r="I149" s="6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636.99999999999977</v>
      </c>
      <c r="O149" s="13">
        <f>N149*VLOOKUP('Données projet'!$B$9,Paramètres!$A$1:$I$89,3,0)*VLOOKUP('Données projet'!$B$9,Paramètres!$A$1:$I$89,5,0)</f>
        <v>356.08299999999991</v>
      </c>
      <c r="P149" s="13">
        <f t="shared" si="141"/>
        <v>82.813805255716545</v>
      </c>
      <c r="Q149" s="20">
        <f t="shared" si="108"/>
        <v>764.41193582037283</v>
      </c>
      <c r="R149" s="57">
        <f t="shared" si="109"/>
        <v>1057.7452691537062</v>
      </c>
      <c r="S149" s="57">
        <f ca="1">AVERAGE(OFFSET($R$3,0,0,'Données projet'!$E$9+1,1))-AVERAGE(OFFSET($H$3,0,0,'Données projet'!$E$9+1,1))</f>
        <v>443.34220761968419</v>
      </c>
      <c r="T149" s="57">
        <f t="shared" si="142"/>
        <v>546.58234447298014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17.797416059389967</v>
      </c>
      <c r="AA149" s="21">
        <f>EXP(-LN(2)/25)*AA148+(1-EXP(-LN(2)/25))/(LN(2)/25)*Calculateur!V149*Calculateur!X149*VLOOKUP('Données projet'!$B$9,Paramètres!$A$1:$I$89,3,0)*0.475*44/12</f>
        <v>0.87984075622801539</v>
      </c>
      <c r="AB149" s="21">
        <f>EXP(-LN(2)/2)*AB148+(1-EXP(-LN(2)/2))/(LN(2)/2)*V149*Y149*VLOOKUP('Données projet'!$B$9,Paramètres!$A$1:$I$89,3,0)*0.475*44/12</f>
        <v>2.0961693633443215E-17</v>
      </c>
      <c r="AC149" s="22">
        <f t="shared" si="111"/>
        <v>18.677256815617984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911.99999999999898</v>
      </c>
      <c r="AJ149" s="13">
        <f>AI149*VLOOKUP('Données projet'!$B$10,Paramètres!$A$1:$I$89,3,0)*VLOOKUP('Données projet'!$B$10,Paramètres!$A$1:$I$89,5,0)</f>
        <v>426.81599999999946</v>
      </c>
      <c r="AK149" s="13">
        <f t="shared" si="143"/>
        <v>97.192496986872399</v>
      </c>
      <c r="AL149" s="20">
        <f t="shared" si="112"/>
        <v>912.64813225213504</v>
      </c>
      <c r="AM149" s="57">
        <f t="shared" si="113"/>
        <v>1205.9814655854684</v>
      </c>
      <c r="AN149" s="57">
        <f ca="1">AVERAGE(OFFSET($AM$3,0,0,'Données projet'!$E$10+1,1))-AVERAGE(OFFSET($H$3,0,0,'Données projet'!$E$10+1,1))</f>
        <v>524.3999528951972</v>
      </c>
      <c r="AO149" s="57">
        <f t="shared" si="144"/>
        <v>459.3547783500515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40.219536453861686</v>
      </c>
      <c r="AV149" s="21">
        <f>EXP(-LN(2)/25)*AV148+(1-EXP(-LN(2)/25))/(LN(2)/25)*Calculateur!AQ149*Calculateur!AS149*VLOOKUP('Données projet'!$B$10,Paramètres!$A$1:$I$89,3,0)*0.475*44/12</f>
        <v>2.1433500195744015</v>
      </c>
      <c r="AW149" s="21">
        <f>EXP(-LN(2)/2)*AW148+(1-EXP(-LN(2)/2))/(LN(2)/2)*AQ149*AT149*VLOOKUP('Données projet'!$B$10,Paramètres!$A$1:$I$89,3,0)*0.475*44/12</f>
        <v>4.1364155479151355E-18</v>
      </c>
      <c r="AX149" s="21">
        <f t="shared" si="114"/>
        <v>42.362886473436085</v>
      </c>
      <c r="AY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852.00000000000011</v>
      </c>
      <c r="BE149" s="13">
        <f>BD149*VLOOKUP('Données projet'!$B$11,Paramètres!$A$1:$I$89,3,0)*VLOOKUP('Données projet'!$B$11,Paramètres!$A$1:$I$89,5,0)</f>
        <v>409.81200000000013</v>
      </c>
      <c r="BF149" s="13">
        <f t="shared" si="145"/>
        <v>93.76308331402879</v>
      </c>
      <c r="BG149" s="20">
        <f t="shared" si="115"/>
        <v>877.05993677193362</v>
      </c>
      <c r="BH149" s="57">
        <f t="shared" si="116"/>
        <v>1170.393270105267</v>
      </c>
      <c r="BI149" s="57">
        <f ca="1">AVERAGE(OFFSET($BH$3,0,0,'Données projet'!$E$11+1,1))-AVERAGE(OFFSET($H$3,0,0,'Données projet'!$E$11+1,1))</f>
        <v>495.6473104257044</v>
      </c>
      <c r="BJ149" s="57">
        <f t="shared" si="146"/>
        <v>430.92527296485201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41.898898036103233</v>
      </c>
      <c r="BQ149" s="21">
        <f>EXP(-LN(2)/25)*BQ148+(1-EXP(-LN(2)/25))/(LN(2)/25)*Calculateur!BL149*Calculateur!BN149*VLOOKUP('Données projet'!$B$11,Paramètres!$A$1:$I$89,3,0)*0.475*44/12</f>
        <v>2.0193135601082886</v>
      </c>
      <c r="BR149" s="21">
        <f>EXP(-LN(2)/2)*BR148+(1-EXP(-LN(2)/2))/(LN(2)/2)*BL149*BO149*VLOOKUP('Données projet'!$B$11,Paramètres!$A$1:$I$89,3,0)*0.475*44/12</f>
        <v>2.538980376825996E-18</v>
      </c>
      <c r="BS149" s="22">
        <f t="shared" si="117"/>
        <v>43.91821159621152</v>
      </c>
      <c r="BT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7" t="e">
        <f t="shared" si="119"/>
        <v>#NUM!</v>
      </c>
      <c r="CD149" s="57">
        <f ca="1">AVERAGE(OFFSET($CC$3,0,0,'Données projet'!$E$12+1,1))-AVERAGE(OFFSET($H$3,0,0,'Données projet'!$E$12+1,1))</f>
        <v>187.80389738728508</v>
      </c>
      <c r="CE149" s="57">
        <f t="shared" si="148"/>
        <v>439.28159165815265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12.416586684371309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4.2817110617336445E-18</v>
      </c>
      <c r="CN149" s="22">
        <f t="shared" si="120"/>
        <v>12.416586684371309</v>
      </c>
      <c r="CO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267</v>
      </c>
      <c r="CU149" s="17">
        <f>CT149*VLOOKUP('Données projet'!$B$13,Paramètres!$A$1:$I$89,3,0)*VLOOKUP('Données projet'!$B$13,Paramètres!$A$1:$I$89,5,0)</f>
        <v>241.58159999999998</v>
      </c>
      <c r="CV149" s="13">
        <f t="shared" si="149"/>
        <v>58.779689232021951</v>
      </c>
      <c r="CW149" s="20">
        <f t="shared" si="121"/>
        <v>523.12924541243819</v>
      </c>
      <c r="CX149" s="57">
        <f t="shared" si="122"/>
        <v>816.46257874577145</v>
      </c>
      <c r="CY149" s="57">
        <f ca="1">AVERAGE(OFFSET($CX$3,0,0,'Données projet'!$E$13+1,1))-AVERAGE(OFFSET($H$3,0,0,'Données projet'!$E$13+1,1))</f>
        <v>364.3481978218424</v>
      </c>
      <c r="CZ149" s="57">
        <f t="shared" si="150"/>
        <v>231.36959598460686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40.908862158496703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40.908862158496703</v>
      </c>
      <c r="DJ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255.00000000000006</v>
      </c>
      <c r="DP149" s="17">
        <f>DO149*VLOOKUP('Données projet'!$B$14,Paramètres!$A$1:$I$89,3,0)*VLOOKUP('Données projet'!$B$14,Paramètres!$A$1:$I$89,5,0)</f>
        <v>186.96600000000004</v>
      </c>
      <c r="DQ149" s="13">
        <f t="shared" si="151"/>
        <v>46.868551400324648</v>
      </c>
      <c r="DR149" s="20">
        <f t="shared" si="124"/>
        <v>407.26184368889881</v>
      </c>
      <c r="DS149" s="57">
        <f t="shared" si="125"/>
        <v>700.59517702223206</v>
      </c>
      <c r="DT149" s="57">
        <f ca="1">AVERAGE(OFFSET($DS$3,0,0,'Données projet'!$E$14+1,1))-AVERAGE(OFFSET($H$3,0,0,'Données projet'!$E$14+1,1))</f>
        <v>239.25212250019609</v>
      </c>
      <c r="DU149" s="57">
        <f t="shared" si="152"/>
        <v>213.58492101729695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403.99999999999994</v>
      </c>
      <c r="EK149" s="17">
        <f>EJ149*VLOOKUP('Données projet'!$B$15,Paramètres!$A$1:$I$89,3,0)*VLOOKUP('Données projet'!$B$15,Paramètres!$A$1:$I$89,5,0)</f>
        <v>346.63200000000001</v>
      </c>
      <c r="EL149" s="13">
        <f t="shared" si="153"/>
        <v>80.868615263336864</v>
      </c>
      <c r="EM149" s="20">
        <f t="shared" si="127"/>
        <v>744.56357158364483</v>
      </c>
      <c r="EN149" s="57">
        <f t="shared" si="128"/>
        <v>1037.8969049169782</v>
      </c>
      <c r="EO149" s="57">
        <f ca="1">AVERAGE(OFFSET($EN$3,0,0,'Données projet'!$E$15+1,1))-AVERAGE(OFFSET($H$3,0,0,'Données projet'!$E$15+1,1))</f>
        <v>447.10969593632467</v>
      </c>
      <c r="EP149" s="57">
        <f t="shared" si="154"/>
        <v>256.77417912163997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59.456942094214028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59.456942094214028</v>
      </c>
      <c r="EZ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7" t="e">
        <f t="shared" si="131"/>
        <v>#N/A</v>
      </c>
      <c r="FJ149" s="57" t="e">
        <f ca="1">AVERAGE(OFFSET($FI$3,0,0,'Données projet'!$E$16+1,1))-AVERAGE(OFFSET($H$3,0,0,'Données projet'!$E$16+1,1))</f>
        <v>#N/A</v>
      </c>
      <c r="FK149" s="57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7" t="e">
        <f t="shared" si="134"/>
        <v>#N/A</v>
      </c>
      <c r="GE149" s="57" t="e">
        <f ca="1">AVERAGE(OFFSET($GD$3,0,0,'Données projet'!$E$17+1,1))-AVERAGE(OFFSET($H$3,0,0,'Données projet'!$E$17+1,1))</f>
        <v>#N/A</v>
      </c>
      <c r="GF149" s="57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7" t="e">
        <f t="shared" si="137"/>
        <v>#N/A</v>
      </c>
      <c r="GZ149" s="57" t="e">
        <f ca="1">AVERAGE(OFFSET($GY$3,0,0,'Données projet'!$E$18+1,1))-AVERAGE(OFFSET($H$3,0,0,'Données projet'!$E$18+1,1))</f>
        <v>#N/A</v>
      </c>
      <c r="HA149" s="57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0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4">
        <f t="shared" si="110"/>
        <v>256.66666666666669</v>
      </c>
      <c r="I150" s="6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636.99999999999977</v>
      </c>
      <c r="O150" s="13">
        <f>N150*VLOOKUP('Données projet'!$B$9,Paramètres!$A$1:$I$89,3,0)*VLOOKUP('Données projet'!$B$9,Paramètres!$A$1:$I$89,5,0)</f>
        <v>356.08299999999991</v>
      </c>
      <c r="P150" s="13">
        <f t="shared" si="141"/>
        <v>82.813805255716545</v>
      </c>
      <c r="Q150" s="20">
        <f t="shared" si="108"/>
        <v>764.41193582037283</v>
      </c>
      <c r="R150" s="57">
        <f t="shared" si="109"/>
        <v>1057.7452691537062</v>
      </c>
      <c r="S150" s="57">
        <f ca="1">AVERAGE(OFFSET($R$3,0,0,'Données projet'!$E$9+1,1))-AVERAGE(OFFSET($H$3,0,0,'Données projet'!$E$9+1,1))</f>
        <v>443.34220761968419</v>
      </c>
      <c r="T150" s="57">
        <f t="shared" si="142"/>
        <v>546.58234447298014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17.448419585817248</v>
      </c>
      <c r="AA150" s="21">
        <f>EXP(-LN(2)/25)*AA149+(1-EXP(-LN(2)/25))/(LN(2)/25)*Calculateur!V150*Calculateur!X150*VLOOKUP('Données projet'!$B$9,Paramètres!$A$1:$I$89,3,0)*0.475*44/12</f>
        <v>0.8557814644801458</v>
      </c>
      <c r="AB150" s="21">
        <f>EXP(-LN(2)/2)*AB149+(1-EXP(-LN(2)/2))/(LN(2)/2)*V150*Y150*VLOOKUP('Données projet'!$B$9,Paramètres!$A$1:$I$89,3,0)*0.475*44/12</f>
        <v>1.4822155713362578E-17</v>
      </c>
      <c r="AC150" s="22">
        <f t="shared" si="111"/>
        <v>18.304201050297394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911.99999999999898</v>
      </c>
      <c r="AJ150" s="13">
        <f>AI150*VLOOKUP('Données projet'!$B$10,Paramètres!$A$1:$I$89,3,0)*VLOOKUP('Données projet'!$B$10,Paramètres!$A$1:$I$89,5,0)</f>
        <v>426.81599999999946</v>
      </c>
      <c r="AK150" s="13">
        <f t="shared" si="143"/>
        <v>97.192496986872399</v>
      </c>
      <c r="AL150" s="20">
        <f t="shared" si="112"/>
        <v>912.64813225213504</v>
      </c>
      <c r="AM150" s="57">
        <f t="shared" si="113"/>
        <v>1205.9814655854684</v>
      </c>
      <c r="AN150" s="57">
        <f ca="1">AVERAGE(OFFSET($AM$3,0,0,'Données projet'!$E$10+1,1))-AVERAGE(OFFSET($H$3,0,0,'Données projet'!$E$10+1,1))</f>
        <v>524.3999528951972</v>
      </c>
      <c r="AO150" s="57">
        <f t="shared" si="144"/>
        <v>459.3547783500515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39.430855875496412</v>
      </c>
      <c r="AV150" s="21">
        <f>EXP(-LN(2)/25)*AV149+(1-EXP(-LN(2)/25))/(LN(2)/25)*Calculateur!AQ150*Calculateur!AS150*VLOOKUP('Données projet'!$B$10,Paramètres!$A$1:$I$89,3,0)*0.475*44/12</f>
        <v>2.0847400005752608</v>
      </c>
      <c r="AW150" s="21">
        <f>EXP(-LN(2)/2)*AW149+(1-EXP(-LN(2)/2))/(LN(2)/2)*AQ150*AT150*VLOOKUP('Données projet'!$B$10,Paramètres!$A$1:$I$89,3,0)*0.475*44/12</f>
        <v>2.9248874837362609E-18</v>
      </c>
      <c r="AX150" s="21">
        <f t="shared" si="114"/>
        <v>41.515595876071671</v>
      </c>
      <c r="AY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852.00000000000011</v>
      </c>
      <c r="BE150" s="13">
        <f>BD150*VLOOKUP('Données projet'!$B$11,Paramètres!$A$1:$I$89,3,0)*VLOOKUP('Données projet'!$B$11,Paramètres!$A$1:$I$89,5,0)</f>
        <v>409.81200000000013</v>
      </c>
      <c r="BF150" s="13">
        <f t="shared" si="145"/>
        <v>93.76308331402879</v>
      </c>
      <c r="BG150" s="20">
        <f t="shared" si="115"/>
        <v>877.05993677193362</v>
      </c>
      <c r="BH150" s="57">
        <f t="shared" si="116"/>
        <v>1170.393270105267</v>
      </c>
      <c r="BI150" s="57">
        <f ca="1">AVERAGE(OFFSET($BH$3,0,0,'Données projet'!$E$11+1,1))-AVERAGE(OFFSET($H$3,0,0,'Données projet'!$E$11+1,1))</f>
        <v>495.6473104257044</v>
      </c>
      <c r="BJ150" s="57">
        <f t="shared" si="146"/>
        <v>430.92527296485201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41.077286201419625</v>
      </c>
      <c r="BQ150" s="21">
        <f>EXP(-LN(2)/25)*BQ149+(1-EXP(-LN(2)/25))/(LN(2)/25)*Calculateur!BL150*Calculateur!BN150*VLOOKUP('Données projet'!$B$11,Paramètres!$A$1:$I$89,3,0)*0.475*44/12</f>
        <v>1.9640953246160424</v>
      </c>
      <c r="BR150" s="21">
        <f>EXP(-LN(2)/2)*BR149+(1-EXP(-LN(2)/2))/(LN(2)/2)*BL150*BO150*VLOOKUP('Données projet'!$B$11,Paramètres!$A$1:$I$89,3,0)*0.475*44/12</f>
        <v>1.7953302417532376E-18</v>
      </c>
      <c r="BS150" s="22">
        <f t="shared" si="117"/>
        <v>43.041381526035664</v>
      </c>
      <c r="BT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7" t="e">
        <f t="shared" si="119"/>
        <v>#NUM!</v>
      </c>
      <c r="CD150" s="57">
        <f ca="1">AVERAGE(OFFSET($CC$3,0,0,'Données projet'!$E$12+1,1))-AVERAGE(OFFSET($H$3,0,0,'Données projet'!$E$12+1,1))</f>
        <v>187.80389738728508</v>
      </c>
      <c r="CE150" s="57">
        <f t="shared" si="148"/>
        <v>439.28159165815265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12.173104992860857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3.0276269268333123E-18</v>
      </c>
      <c r="CN150" s="22">
        <f t="shared" si="120"/>
        <v>12.173104992860857</v>
      </c>
      <c r="CO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267</v>
      </c>
      <c r="CU150" s="17">
        <f>CT150*VLOOKUP('Données projet'!$B$13,Paramètres!$A$1:$I$89,3,0)*VLOOKUP('Données projet'!$B$13,Paramètres!$A$1:$I$89,5,0)</f>
        <v>241.58159999999998</v>
      </c>
      <c r="CV150" s="13">
        <f t="shared" si="149"/>
        <v>58.779689232021951</v>
      </c>
      <c r="CW150" s="20">
        <f t="shared" si="121"/>
        <v>523.12924541243819</v>
      </c>
      <c r="CX150" s="57">
        <f t="shared" si="122"/>
        <v>816.46257874577145</v>
      </c>
      <c r="CY150" s="57">
        <f ca="1">AVERAGE(OFFSET($CX$3,0,0,'Données projet'!$E$13+1,1))-AVERAGE(OFFSET($H$3,0,0,'Données projet'!$E$13+1,1))</f>
        <v>364.3481978218424</v>
      </c>
      <c r="CZ150" s="57">
        <f t="shared" si="150"/>
        <v>231.36959598460686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40.106664323510699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40.106664323510699</v>
      </c>
      <c r="DJ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255.00000000000006</v>
      </c>
      <c r="DP150" s="17">
        <f>DO150*VLOOKUP('Données projet'!$B$14,Paramètres!$A$1:$I$89,3,0)*VLOOKUP('Données projet'!$B$14,Paramètres!$A$1:$I$89,5,0)</f>
        <v>186.96600000000004</v>
      </c>
      <c r="DQ150" s="13">
        <f t="shared" si="151"/>
        <v>46.868551400324648</v>
      </c>
      <c r="DR150" s="20">
        <f t="shared" si="124"/>
        <v>407.26184368889881</v>
      </c>
      <c r="DS150" s="57">
        <f t="shared" si="125"/>
        <v>700.59517702223206</v>
      </c>
      <c r="DT150" s="57">
        <f ca="1">AVERAGE(OFFSET($DS$3,0,0,'Données projet'!$E$14+1,1))-AVERAGE(OFFSET($H$3,0,0,'Données projet'!$E$14+1,1))</f>
        <v>239.25212250019609</v>
      </c>
      <c r="DU150" s="57">
        <f t="shared" si="152"/>
        <v>213.58492101729695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403.99999999999994</v>
      </c>
      <c r="EK150" s="17">
        <f>EJ150*VLOOKUP('Données projet'!$B$15,Paramètres!$A$1:$I$89,3,0)*VLOOKUP('Données projet'!$B$15,Paramètres!$A$1:$I$89,5,0)</f>
        <v>346.63200000000001</v>
      </c>
      <c r="EL150" s="13">
        <f t="shared" si="153"/>
        <v>80.868615263336864</v>
      </c>
      <c r="EM150" s="20">
        <f t="shared" si="127"/>
        <v>744.56357158364483</v>
      </c>
      <c r="EN150" s="57">
        <f t="shared" si="128"/>
        <v>1037.8969049169782</v>
      </c>
      <c r="EO150" s="57">
        <f ca="1">AVERAGE(OFFSET($EN$3,0,0,'Données projet'!$E$15+1,1))-AVERAGE(OFFSET($H$3,0,0,'Données projet'!$E$15+1,1))</f>
        <v>447.10969593632467</v>
      </c>
      <c r="EP150" s="57">
        <f t="shared" si="154"/>
        <v>256.77417912163997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58.291027724900282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58.291027724900282</v>
      </c>
      <c r="EZ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7" t="e">
        <f t="shared" si="131"/>
        <v>#N/A</v>
      </c>
      <c r="FJ150" s="57" t="e">
        <f ca="1">AVERAGE(OFFSET($FI$3,0,0,'Données projet'!$E$16+1,1))-AVERAGE(OFFSET($H$3,0,0,'Données projet'!$E$16+1,1))</f>
        <v>#N/A</v>
      </c>
      <c r="FK150" s="57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7" t="e">
        <f t="shared" si="134"/>
        <v>#N/A</v>
      </c>
      <c r="GE150" s="57" t="e">
        <f ca="1">AVERAGE(OFFSET($GD$3,0,0,'Données projet'!$E$17+1,1))-AVERAGE(OFFSET($H$3,0,0,'Données projet'!$E$17+1,1))</f>
        <v>#N/A</v>
      </c>
      <c r="GF150" s="57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7" t="e">
        <f t="shared" si="137"/>
        <v>#N/A</v>
      </c>
      <c r="GZ150" s="57" t="e">
        <f ca="1">AVERAGE(OFFSET($GY$3,0,0,'Données projet'!$E$18+1,1))-AVERAGE(OFFSET($H$3,0,0,'Données projet'!$E$18+1,1))</f>
        <v>#N/A</v>
      </c>
      <c r="HA150" s="57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0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4">
        <f t="shared" si="110"/>
        <v>256.66666666666669</v>
      </c>
      <c r="I151" s="6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636.99999999999977</v>
      </c>
      <c r="O151" s="13">
        <f>N151*VLOOKUP('Données projet'!$B$9,Paramètres!$A$1:$I$89,3,0)*VLOOKUP('Données projet'!$B$9,Paramètres!$A$1:$I$89,5,0)</f>
        <v>356.08299999999991</v>
      </c>
      <c r="P151" s="13">
        <f t="shared" si="141"/>
        <v>82.813805255716545</v>
      </c>
      <c r="Q151" s="20">
        <f t="shared" si="108"/>
        <v>764.41193582037283</v>
      </c>
      <c r="R151" s="57">
        <f t="shared" si="109"/>
        <v>1057.7452691537062</v>
      </c>
      <c r="S151" s="57">
        <f ca="1">AVERAGE(OFFSET($R$3,0,0,'Données projet'!$E$9+1,1))-AVERAGE(OFFSET($H$3,0,0,'Données projet'!$E$9+1,1))</f>
        <v>443.34220761968419</v>
      </c>
      <c r="T151" s="57">
        <f t="shared" si="142"/>
        <v>546.58234447298014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17.106266720224461</v>
      </c>
      <c r="AA151" s="21">
        <f>EXP(-LN(2)/25)*AA150+(1-EXP(-LN(2)/25))/(LN(2)/25)*Calculateur!V151*Calculateur!X151*VLOOKUP('Données projet'!$B$9,Paramètres!$A$1:$I$89,3,0)*0.475*44/12</f>
        <v>0.83238007533034486</v>
      </c>
      <c r="AB151" s="21">
        <f>EXP(-LN(2)/2)*AB150+(1-EXP(-LN(2)/2))/(LN(2)/2)*V151*Y151*VLOOKUP('Données projet'!$B$9,Paramètres!$A$1:$I$89,3,0)*0.475*44/12</f>
        <v>1.0480846816721608E-17</v>
      </c>
      <c r="AC151" s="22">
        <f t="shared" si="111"/>
        <v>17.938646795554806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911.99999999999898</v>
      </c>
      <c r="AJ151" s="13">
        <f>AI151*VLOOKUP('Données projet'!$B$10,Paramètres!$A$1:$I$89,3,0)*VLOOKUP('Données projet'!$B$10,Paramètres!$A$1:$I$89,5,0)</f>
        <v>426.81599999999946</v>
      </c>
      <c r="AK151" s="13">
        <f t="shared" si="143"/>
        <v>97.192496986872399</v>
      </c>
      <c r="AL151" s="20">
        <f t="shared" si="112"/>
        <v>912.64813225213504</v>
      </c>
      <c r="AM151" s="57">
        <f t="shared" si="113"/>
        <v>1205.9814655854684</v>
      </c>
      <c r="AN151" s="57">
        <f ca="1">AVERAGE(OFFSET($AM$3,0,0,'Données projet'!$E$10+1,1))-AVERAGE(OFFSET($H$3,0,0,'Données projet'!$E$10+1,1))</f>
        <v>524.3999528951972</v>
      </c>
      <c r="AO151" s="57">
        <f t="shared" si="144"/>
        <v>459.3547783500515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38.657640842225227</v>
      </c>
      <c r="AV151" s="21">
        <f>EXP(-LN(2)/25)*AV150+(1-EXP(-LN(2)/25))/(LN(2)/25)*Calculateur!AQ151*Calculateur!AS151*VLOOKUP('Données projet'!$B$10,Paramètres!$A$1:$I$89,3,0)*0.475*44/12</f>
        <v>2.0277326756278184</v>
      </c>
      <c r="AW151" s="21">
        <f>EXP(-LN(2)/2)*AW150+(1-EXP(-LN(2)/2))/(LN(2)/2)*AQ151*AT151*VLOOKUP('Données projet'!$B$10,Paramètres!$A$1:$I$89,3,0)*0.475*44/12</f>
        <v>2.0682077739575678E-18</v>
      </c>
      <c r="AX151" s="21">
        <f t="shared" si="114"/>
        <v>40.685373517853044</v>
      </c>
      <c r="AY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852.00000000000011</v>
      </c>
      <c r="BE151" s="13">
        <f>BD151*VLOOKUP('Données projet'!$B$11,Paramètres!$A$1:$I$89,3,0)*VLOOKUP('Données projet'!$B$11,Paramètres!$A$1:$I$89,5,0)</f>
        <v>409.81200000000013</v>
      </c>
      <c r="BF151" s="13">
        <f t="shared" si="145"/>
        <v>93.76308331402879</v>
      </c>
      <c r="BG151" s="20">
        <f t="shared" si="115"/>
        <v>877.05993677193362</v>
      </c>
      <c r="BH151" s="57">
        <f t="shared" si="116"/>
        <v>1170.393270105267</v>
      </c>
      <c r="BI151" s="57">
        <f ca="1">AVERAGE(OFFSET($BH$3,0,0,'Données projet'!$E$11+1,1))-AVERAGE(OFFSET($H$3,0,0,'Données projet'!$E$11+1,1))</f>
        <v>495.6473104257044</v>
      </c>
      <c r="BJ151" s="57">
        <f t="shared" si="146"/>
        <v>430.92527296485201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40.271785673680426</v>
      </c>
      <c r="BQ151" s="21">
        <f>EXP(-LN(2)/25)*BQ150+(1-EXP(-LN(2)/25))/(LN(2)/25)*Calculateur!BL151*Calculateur!BN151*VLOOKUP('Données projet'!$B$11,Paramètres!$A$1:$I$89,3,0)*0.475*44/12</f>
        <v>1.9103870346771326</v>
      </c>
      <c r="BR151" s="21">
        <f>EXP(-LN(2)/2)*BR150+(1-EXP(-LN(2)/2))/(LN(2)/2)*BL151*BO151*VLOOKUP('Données projet'!$B$11,Paramètres!$A$1:$I$89,3,0)*0.475*44/12</f>
        <v>1.269490188412998E-18</v>
      </c>
      <c r="BS151" s="22">
        <f t="shared" si="117"/>
        <v>42.182172708357562</v>
      </c>
      <c r="BT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7" t="e">
        <f t="shared" si="119"/>
        <v>#NUM!</v>
      </c>
      <c r="CD151" s="57">
        <f ca="1">AVERAGE(OFFSET($CC$3,0,0,'Données projet'!$E$12+1,1))-AVERAGE(OFFSET($H$3,0,0,'Données projet'!$E$12+1,1))</f>
        <v>187.80389738728508</v>
      </c>
      <c r="CE151" s="57">
        <f t="shared" si="148"/>
        <v>439.28159165815265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11.934397828811758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2.1408555308668223E-18</v>
      </c>
      <c r="CN151" s="22">
        <f t="shared" si="120"/>
        <v>11.934397828811758</v>
      </c>
      <c r="CO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267</v>
      </c>
      <c r="CU151" s="17">
        <f>CT151*VLOOKUP('Données projet'!$B$13,Paramètres!$A$1:$I$89,3,0)*VLOOKUP('Données projet'!$B$13,Paramètres!$A$1:$I$89,5,0)</f>
        <v>241.58159999999998</v>
      </c>
      <c r="CV151" s="13">
        <f t="shared" si="149"/>
        <v>58.779689232021951</v>
      </c>
      <c r="CW151" s="20">
        <f t="shared" si="121"/>
        <v>523.12924541243819</v>
      </c>
      <c r="CX151" s="57">
        <f t="shared" si="122"/>
        <v>816.46257874577145</v>
      </c>
      <c r="CY151" s="57">
        <f ca="1">AVERAGE(OFFSET($CX$3,0,0,'Données projet'!$E$13+1,1))-AVERAGE(OFFSET($H$3,0,0,'Données projet'!$E$13+1,1))</f>
        <v>364.3481978218424</v>
      </c>
      <c r="CZ151" s="57">
        <f t="shared" si="150"/>
        <v>231.36959598460686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39.320197098776404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39.320197098776404</v>
      </c>
      <c r="DJ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255.00000000000006</v>
      </c>
      <c r="DP151" s="17">
        <f>DO151*VLOOKUP('Données projet'!$B$14,Paramètres!$A$1:$I$89,3,0)*VLOOKUP('Données projet'!$B$14,Paramètres!$A$1:$I$89,5,0)</f>
        <v>186.96600000000004</v>
      </c>
      <c r="DQ151" s="13">
        <f t="shared" si="151"/>
        <v>46.868551400324648</v>
      </c>
      <c r="DR151" s="20">
        <f t="shared" si="124"/>
        <v>407.26184368889881</v>
      </c>
      <c r="DS151" s="57">
        <f t="shared" si="125"/>
        <v>700.59517702223206</v>
      </c>
      <c r="DT151" s="57">
        <f ca="1">AVERAGE(OFFSET($DS$3,0,0,'Données projet'!$E$14+1,1))-AVERAGE(OFFSET($H$3,0,0,'Données projet'!$E$14+1,1))</f>
        <v>239.25212250019609</v>
      </c>
      <c r="DU151" s="57">
        <f t="shared" si="152"/>
        <v>213.58492101729695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403.99999999999994</v>
      </c>
      <c r="EK151" s="17">
        <f>EJ151*VLOOKUP('Données projet'!$B$15,Paramètres!$A$1:$I$89,3,0)*VLOOKUP('Données projet'!$B$15,Paramètres!$A$1:$I$89,5,0)</f>
        <v>346.63200000000001</v>
      </c>
      <c r="EL151" s="13">
        <f t="shared" si="153"/>
        <v>80.868615263336864</v>
      </c>
      <c r="EM151" s="20">
        <f t="shared" si="127"/>
        <v>744.56357158364483</v>
      </c>
      <c r="EN151" s="57">
        <f t="shared" si="128"/>
        <v>1037.8969049169782</v>
      </c>
      <c r="EO151" s="57">
        <f ca="1">AVERAGE(OFFSET($EN$3,0,0,'Données projet'!$E$15+1,1))-AVERAGE(OFFSET($H$3,0,0,'Données projet'!$E$15+1,1))</f>
        <v>447.10969593632467</v>
      </c>
      <c r="EP151" s="57">
        <f t="shared" si="154"/>
        <v>256.77417912163997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57.147976225231233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57.147976225231233</v>
      </c>
      <c r="EZ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7" t="e">
        <f t="shared" si="131"/>
        <v>#N/A</v>
      </c>
      <c r="FJ151" s="57" t="e">
        <f ca="1">AVERAGE(OFFSET($FI$3,0,0,'Données projet'!$E$16+1,1))-AVERAGE(OFFSET($H$3,0,0,'Données projet'!$E$16+1,1))</f>
        <v>#N/A</v>
      </c>
      <c r="FK151" s="57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7" t="e">
        <f t="shared" si="134"/>
        <v>#N/A</v>
      </c>
      <c r="GE151" s="57" t="e">
        <f ca="1">AVERAGE(OFFSET($GD$3,0,0,'Données projet'!$E$17+1,1))-AVERAGE(OFFSET($H$3,0,0,'Données projet'!$E$17+1,1))</f>
        <v>#N/A</v>
      </c>
      <c r="GF151" s="57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7" t="e">
        <f t="shared" si="137"/>
        <v>#N/A</v>
      </c>
      <c r="GZ151" s="57" t="e">
        <f ca="1">AVERAGE(OFFSET($GY$3,0,0,'Données projet'!$E$18+1,1))-AVERAGE(OFFSET($H$3,0,0,'Données projet'!$E$18+1,1))</f>
        <v>#N/A</v>
      </c>
      <c r="HA151" s="57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0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4">
        <f t="shared" si="110"/>
        <v>256.66666666666669</v>
      </c>
      <c r="I152" s="6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636.99999999999977</v>
      </c>
      <c r="O152" s="13">
        <f>N152*VLOOKUP('Données projet'!$B$9,Paramètres!$A$1:$I$89,3,0)*VLOOKUP('Données projet'!$B$9,Paramètres!$A$1:$I$89,5,0)</f>
        <v>356.08299999999991</v>
      </c>
      <c r="P152" s="13">
        <f t="shared" si="141"/>
        <v>82.813805255716545</v>
      </c>
      <c r="Q152" s="20">
        <f t="shared" si="108"/>
        <v>764.41193582037283</v>
      </c>
      <c r="R152" s="57">
        <f t="shared" si="109"/>
        <v>1057.7452691537062</v>
      </c>
      <c r="S152" s="57">
        <f ca="1">AVERAGE(OFFSET($R$3,0,0,'Données projet'!$E$9+1,1))-AVERAGE(OFFSET($H$3,0,0,'Données projet'!$E$9+1,1))</f>
        <v>443.34220761968419</v>
      </c>
      <c r="T152" s="57">
        <f t="shared" si="142"/>
        <v>546.58234447298014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16.770823263633307</v>
      </c>
      <c r="AA152" s="21">
        <f>EXP(-LN(2)/25)*AA151+(1-EXP(-LN(2)/25))/(LN(2)/25)*Calculateur!V152*Calculateur!X152*VLOOKUP('Données projet'!$B$9,Paramètres!$A$1:$I$89,3,0)*0.475*44/12</f>
        <v>0.80961859839747086</v>
      </c>
      <c r="AB152" s="21">
        <f>EXP(-LN(2)/2)*AB151+(1-EXP(-LN(2)/2))/(LN(2)/2)*V152*Y152*VLOOKUP('Données projet'!$B$9,Paramètres!$A$1:$I$89,3,0)*0.475*44/12</f>
        <v>7.4110778566812889E-18</v>
      </c>
      <c r="AC152" s="22">
        <f t="shared" si="111"/>
        <v>17.580441862030778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911.99999999999898</v>
      </c>
      <c r="AJ152" s="13">
        <f>AI152*VLOOKUP('Données projet'!$B$10,Paramètres!$A$1:$I$89,3,0)*VLOOKUP('Données projet'!$B$10,Paramètres!$A$1:$I$89,5,0)</f>
        <v>426.81599999999946</v>
      </c>
      <c r="AK152" s="13">
        <f t="shared" si="143"/>
        <v>97.192496986872399</v>
      </c>
      <c r="AL152" s="20">
        <f t="shared" si="112"/>
        <v>912.64813225213504</v>
      </c>
      <c r="AM152" s="57">
        <f t="shared" si="113"/>
        <v>1205.9814655854684</v>
      </c>
      <c r="AN152" s="57">
        <f ca="1">AVERAGE(OFFSET($AM$3,0,0,'Données projet'!$E$10+1,1))-AVERAGE(OFFSET($H$3,0,0,'Données projet'!$E$10+1,1))</f>
        <v>524.3999528951972</v>
      </c>
      <c r="AO152" s="57">
        <f t="shared" si="144"/>
        <v>459.3547783500515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37.89958808414189</v>
      </c>
      <c r="AV152" s="21">
        <f>EXP(-LN(2)/25)*AV151+(1-EXP(-LN(2)/25))/(LN(2)/25)*Calculateur!AQ152*Calculateur!AS152*VLOOKUP('Données projet'!$B$10,Paramètres!$A$1:$I$89,3,0)*0.475*44/12</f>
        <v>1.9722842189789487</v>
      </c>
      <c r="AW152" s="21">
        <f>EXP(-LN(2)/2)*AW151+(1-EXP(-LN(2)/2))/(LN(2)/2)*AQ152*AT152*VLOOKUP('Données projet'!$B$10,Paramètres!$A$1:$I$89,3,0)*0.475*44/12</f>
        <v>1.4624437418681304E-18</v>
      </c>
      <c r="AX152" s="21">
        <f t="shared" si="114"/>
        <v>39.871872303120838</v>
      </c>
      <c r="AY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852.00000000000011</v>
      </c>
      <c r="BE152" s="13">
        <f>BD152*VLOOKUP('Données projet'!$B$11,Paramètres!$A$1:$I$89,3,0)*VLOOKUP('Données projet'!$B$11,Paramètres!$A$1:$I$89,5,0)</f>
        <v>409.81200000000013</v>
      </c>
      <c r="BF152" s="13">
        <f t="shared" si="145"/>
        <v>93.76308331402879</v>
      </c>
      <c r="BG152" s="20">
        <f t="shared" si="115"/>
        <v>877.05993677193362</v>
      </c>
      <c r="BH152" s="57">
        <f t="shared" si="116"/>
        <v>1170.393270105267</v>
      </c>
      <c r="BI152" s="57">
        <f ca="1">AVERAGE(OFFSET($BH$3,0,0,'Données projet'!$E$11+1,1))-AVERAGE(OFFSET($H$3,0,0,'Données projet'!$E$11+1,1))</f>
        <v>495.6473104257044</v>
      </c>
      <c r="BJ152" s="57">
        <f t="shared" si="146"/>
        <v>430.92527296485201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39.482080519983384</v>
      </c>
      <c r="BQ152" s="21">
        <f>EXP(-LN(2)/25)*BQ151+(1-EXP(-LN(2)/25))/(LN(2)/25)*Calculateur!BL152*Calculateur!BN152*VLOOKUP('Données projet'!$B$11,Paramètres!$A$1:$I$89,3,0)*0.475*44/12</f>
        <v>1.8581474007509984</v>
      </c>
      <c r="BR152" s="21">
        <f>EXP(-LN(2)/2)*BR151+(1-EXP(-LN(2)/2))/(LN(2)/2)*BL152*BO152*VLOOKUP('Données projet'!$B$11,Paramètres!$A$1:$I$89,3,0)*0.475*44/12</f>
        <v>8.9766512087661878E-19</v>
      </c>
      <c r="BS152" s="22">
        <f t="shared" si="117"/>
        <v>41.340227920734385</v>
      </c>
      <c r="BT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7" t="e">
        <f t="shared" si="119"/>
        <v>#NUM!</v>
      </c>
      <c r="CD152" s="57">
        <f ca="1">AVERAGE(OFFSET($CC$3,0,0,'Données projet'!$E$12+1,1))-AVERAGE(OFFSET($H$3,0,0,'Données projet'!$E$12+1,1))</f>
        <v>187.80389738728508</v>
      </c>
      <c r="CE152" s="57">
        <f t="shared" si="148"/>
        <v>439.28159165815265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11.700371566652667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1.5138134634166562E-18</v>
      </c>
      <c r="CN152" s="22">
        <f t="shared" si="120"/>
        <v>11.700371566652667</v>
      </c>
      <c r="CO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267</v>
      </c>
      <c r="CU152" s="17">
        <f>CT152*VLOOKUP('Données projet'!$B$13,Paramètres!$A$1:$I$89,3,0)*VLOOKUP('Données projet'!$B$13,Paramètres!$A$1:$I$89,5,0)</f>
        <v>241.58159999999998</v>
      </c>
      <c r="CV152" s="13">
        <f t="shared" si="149"/>
        <v>58.779689232021951</v>
      </c>
      <c r="CW152" s="20">
        <f t="shared" si="121"/>
        <v>523.12924541243819</v>
      </c>
      <c r="CX152" s="57">
        <f t="shared" si="122"/>
        <v>816.46257874577145</v>
      </c>
      <c r="CY152" s="57">
        <f ca="1">AVERAGE(OFFSET($CX$3,0,0,'Données projet'!$E$13+1,1))-AVERAGE(OFFSET($H$3,0,0,'Données projet'!$E$13+1,1))</f>
        <v>364.3481978218424</v>
      </c>
      <c r="CZ152" s="57">
        <f t="shared" si="150"/>
        <v>231.36959598460686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38.549152016621512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38.549152016621512</v>
      </c>
      <c r="DJ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255.00000000000006</v>
      </c>
      <c r="DP152" s="17">
        <f>DO152*VLOOKUP('Données projet'!$B$14,Paramètres!$A$1:$I$89,3,0)*VLOOKUP('Données projet'!$B$14,Paramètres!$A$1:$I$89,5,0)</f>
        <v>186.96600000000004</v>
      </c>
      <c r="DQ152" s="13">
        <f t="shared" si="151"/>
        <v>46.868551400324648</v>
      </c>
      <c r="DR152" s="20">
        <f t="shared" si="124"/>
        <v>407.26184368889881</v>
      </c>
      <c r="DS152" s="57">
        <f t="shared" si="125"/>
        <v>700.59517702223206</v>
      </c>
      <c r="DT152" s="57">
        <f ca="1">AVERAGE(OFFSET($DS$3,0,0,'Données projet'!$E$14+1,1))-AVERAGE(OFFSET($H$3,0,0,'Données projet'!$E$14+1,1))</f>
        <v>239.25212250019609</v>
      </c>
      <c r="DU152" s="57">
        <f t="shared" si="152"/>
        <v>213.58492101729695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403.99999999999994</v>
      </c>
      <c r="EK152" s="17">
        <f>EJ152*VLOOKUP('Données projet'!$B$15,Paramètres!$A$1:$I$89,3,0)*VLOOKUP('Données projet'!$B$15,Paramètres!$A$1:$I$89,5,0)</f>
        <v>346.63200000000001</v>
      </c>
      <c r="EL152" s="13">
        <f t="shared" si="153"/>
        <v>80.868615263336864</v>
      </c>
      <c r="EM152" s="20">
        <f t="shared" si="127"/>
        <v>744.56357158364483</v>
      </c>
      <c r="EN152" s="57">
        <f t="shared" si="128"/>
        <v>1037.8969049169782</v>
      </c>
      <c r="EO152" s="57">
        <f ca="1">AVERAGE(OFFSET($EN$3,0,0,'Données projet'!$E$15+1,1))-AVERAGE(OFFSET($H$3,0,0,'Données projet'!$E$15+1,1))</f>
        <v>447.10969593632467</v>
      </c>
      <c r="EP152" s="57">
        <f t="shared" si="154"/>
        <v>256.77417912163997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56.027339268278119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56.027339268278119</v>
      </c>
      <c r="EZ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7" t="e">
        <f t="shared" si="131"/>
        <v>#N/A</v>
      </c>
      <c r="FJ152" s="57" t="e">
        <f ca="1">AVERAGE(OFFSET($FI$3,0,0,'Données projet'!$E$16+1,1))-AVERAGE(OFFSET($H$3,0,0,'Données projet'!$E$16+1,1))</f>
        <v>#N/A</v>
      </c>
      <c r="FK152" s="57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7" t="e">
        <f t="shared" si="134"/>
        <v>#N/A</v>
      </c>
      <c r="GE152" s="57" t="e">
        <f ca="1">AVERAGE(OFFSET($GD$3,0,0,'Données projet'!$E$17+1,1))-AVERAGE(OFFSET($H$3,0,0,'Données projet'!$E$17+1,1))</f>
        <v>#N/A</v>
      </c>
      <c r="GF152" s="57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7" t="e">
        <f t="shared" si="137"/>
        <v>#N/A</v>
      </c>
      <c r="GZ152" s="57" t="e">
        <f ca="1">AVERAGE(OFFSET($GY$3,0,0,'Données projet'!$E$18+1,1))-AVERAGE(OFFSET($H$3,0,0,'Données projet'!$E$18+1,1))</f>
        <v>#N/A</v>
      </c>
      <c r="HA152" s="57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0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4">
        <f t="shared" si="110"/>
        <v>256.66666666666669</v>
      </c>
      <c r="I153" s="6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636.99999999999977</v>
      </c>
      <c r="O153" s="13">
        <f>N153*VLOOKUP('Données projet'!$B$9,Paramètres!$A$1:$I$89,3,0)*VLOOKUP('Données projet'!$B$9,Paramètres!$A$1:$I$89,5,0)</f>
        <v>356.08299999999991</v>
      </c>
      <c r="P153" s="13">
        <f t="shared" si="141"/>
        <v>82.813805255716545</v>
      </c>
      <c r="Q153" s="20">
        <f t="shared" si="108"/>
        <v>764.41193582037283</v>
      </c>
      <c r="R153" s="57">
        <f t="shared" si="109"/>
        <v>1057.7452691537062</v>
      </c>
      <c r="S153" s="57">
        <f ca="1">AVERAGE(OFFSET($R$3,0,0,'Données projet'!$E$9+1,1))-AVERAGE(OFFSET($H$3,0,0,'Données projet'!$E$9+1,1))</f>
        <v>443.34220761968419</v>
      </c>
      <c r="T153" s="57">
        <f t="shared" si="142"/>
        <v>546.58234447298014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16.4419576486256</v>
      </c>
      <c r="AA153" s="21">
        <f>EXP(-LN(2)/25)*AA152+(1-EXP(-LN(2)/25))/(LN(2)/25)*Calculateur!V153*Calculateur!X153*VLOOKUP('Données projet'!$B$9,Paramètres!$A$1:$I$89,3,0)*0.475*44/12</f>
        <v>0.78747953524830039</v>
      </c>
      <c r="AB153" s="21">
        <f>EXP(-LN(2)/2)*AB152+(1-EXP(-LN(2)/2))/(LN(2)/2)*V153*Y153*VLOOKUP('Données projet'!$B$9,Paramètres!$A$1:$I$89,3,0)*0.475*44/12</f>
        <v>5.2404234083608039E-18</v>
      </c>
      <c r="AC153" s="22">
        <f t="shared" si="111"/>
        <v>17.229437183873902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911.99999999999898</v>
      </c>
      <c r="AJ153" s="13">
        <f>AI153*VLOOKUP('Données projet'!$B$10,Paramètres!$A$1:$I$89,3,0)*VLOOKUP('Données projet'!$B$10,Paramètres!$A$1:$I$89,5,0)</f>
        <v>426.81599999999946</v>
      </c>
      <c r="AK153" s="13">
        <f t="shared" si="143"/>
        <v>97.192496986872399</v>
      </c>
      <c r="AL153" s="20">
        <f t="shared" si="112"/>
        <v>912.64813225213504</v>
      </c>
      <c r="AM153" s="57">
        <f t="shared" si="113"/>
        <v>1205.9814655854684</v>
      </c>
      <c r="AN153" s="57">
        <f ca="1">AVERAGE(OFFSET($AM$3,0,0,'Données projet'!$E$10+1,1))-AVERAGE(OFFSET($H$3,0,0,'Données projet'!$E$10+1,1))</f>
        <v>524.3999528951972</v>
      </c>
      <c r="AO153" s="57">
        <f t="shared" si="144"/>
        <v>459.3547783500515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37.156400278278035</v>
      </c>
      <c r="AV153" s="21">
        <f>EXP(-LN(2)/25)*AV152+(1-EXP(-LN(2)/25))/(LN(2)/25)*Calculateur!AQ153*Calculateur!AS153*VLOOKUP('Données projet'!$B$10,Paramètres!$A$1:$I$89,3,0)*0.475*44/12</f>
        <v>1.9183520032930499</v>
      </c>
      <c r="AW153" s="21">
        <f>EXP(-LN(2)/2)*AW152+(1-EXP(-LN(2)/2))/(LN(2)/2)*AQ153*AT153*VLOOKUP('Données projet'!$B$10,Paramètres!$A$1:$I$89,3,0)*0.475*44/12</f>
        <v>1.0341038869787839E-18</v>
      </c>
      <c r="AX153" s="21">
        <f t="shared" si="114"/>
        <v>39.074752281571087</v>
      </c>
      <c r="AY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852.00000000000011</v>
      </c>
      <c r="BE153" s="13">
        <f>BD153*VLOOKUP('Données projet'!$B$11,Paramètres!$A$1:$I$89,3,0)*VLOOKUP('Données projet'!$B$11,Paramètres!$A$1:$I$89,5,0)</f>
        <v>409.81200000000013</v>
      </c>
      <c r="BF153" s="13">
        <f t="shared" si="145"/>
        <v>93.76308331402879</v>
      </c>
      <c r="BG153" s="20">
        <f t="shared" si="115"/>
        <v>877.05993677193362</v>
      </c>
      <c r="BH153" s="57">
        <f t="shared" si="116"/>
        <v>1170.393270105267</v>
      </c>
      <c r="BI153" s="57">
        <f ca="1">AVERAGE(OFFSET($BH$3,0,0,'Données projet'!$E$11+1,1))-AVERAGE(OFFSET($H$3,0,0,'Données projet'!$E$11+1,1))</f>
        <v>495.6473104257044</v>
      </c>
      <c r="BJ153" s="57">
        <f t="shared" si="146"/>
        <v>430.92527296485201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38.70786100267776</v>
      </c>
      <c r="BQ153" s="21">
        <f>EXP(-LN(2)/25)*BQ152+(1-EXP(-LN(2)/25))/(LN(2)/25)*Calculateur!BL153*Calculateur!BN153*VLOOKUP('Données projet'!$B$11,Paramètres!$A$1:$I$89,3,0)*0.475*44/12</f>
        <v>1.8073362623617373</v>
      </c>
      <c r="BR153" s="21">
        <f>EXP(-LN(2)/2)*BR152+(1-EXP(-LN(2)/2))/(LN(2)/2)*BL153*BO153*VLOOKUP('Données projet'!$B$11,Paramètres!$A$1:$I$89,3,0)*0.475*44/12</f>
        <v>6.34745094206499E-19</v>
      </c>
      <c r="BS153" s="22">
        <f t="shared" si="117"/>
        <v>40.515197265039497</v>
      </c>
      <c r="BT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7" t="e">
        <f t="shared" si="119"/>
        <v>#NUM!</v>
      </c>
      <c r="CD153" s="57">
        <f ca="1">AVERAGE(OFFSET($CC$3,0,0,'Données projet'!$E$12+1,1))-AVERAGE(OFFSET($H$3,0,0,'Données projet'!$E$12+1,1))</f>
        <v>187.80389738728508</v>
      </c>
      <c r="CE153" s="57">
        <f t="shared" si="148"/>
        <v>439.28159165815265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11.470934416752591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1.0704277654334111E-18</v>
      </c>
      <c r="CN153" s="22">
        <f t="shared" si="120"/>
        <v>11.470934416752591</v>
      </c>
      <c r="CO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267</v>
      </c>
      <c r="CU153" s="17">
        <f>CT153*VLOOKUP('Données projet'!$B$13,Paramètres!$A$1:$I$89,3,0)*VLOOKUP('Données projet'!$B$13,Paramètres!$A$1:$I$89,5,0)</f>
        <v>241.58159999999998</v>
      </c>
      <c r="CV153" s="13">
        <f t="shared" si="149"/>
        <v>58.779689232021951</v>
      </c>
      <c r="CW153" s="20">
        <f t="shared" si="121"/>
        <v>523.12924541243819</v>
      </c>
      <c r="CX153" s="57">
        <f t="shared" si="122"/>
        <v>816.46257874577145</v>
      </c>
      <c r="CY153" s="57">
        <f ca="1">AVERAGE(OFFSET($CX$3,0,0,'Données projet'!$E$13+1,1))-AVERAGE(OFFSET($H$3,0,0,'Données projet'!$E$13+1,1))</f>
        <v>364.3481978218424</v>
      </c>
      <c r="CZ153" s="57">
        <f t="shared" si="150"/>
        <v>231.36959598460686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37.793226658236613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37.793226658236613</v>
      </c>
      <c r="DJ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255.00000000000006</v>
      </c>
      <c r="DP153" s="17">
        <f>DO153*VLOOKUP('Données projet'!$B$14,Paramètres!$A$1:$I$89,3,0)*VLOOKUP('Données projet'!$B$14,Paramètres!$A$1:$I$89,5,0)</f>
        <v>186.96600000000004</v>
      </c>
      <c r="DQ153" s="13">
        <f t="shared" si="151"/>
        <v>46.868551400324648</v>
      </c>
      <c r="DR153" s="20">
        <f t="shared" si="124"/>
        <v>407.26184368889881</v>
      </c>
      <c r="DS153" s="57">
        <f t="shared" si="125"/>
        <v>700.59517702223206</v>
      </c>
      <c r="DT153" s="57">
        <f ca="1">AVERAGE(OFFSET($DS$3,0,0,'Données projet'!$E$14+1,1))-AVERAGE(OFFSET($H$3,0,0,'Données projet'!$E$14+1,1))</f>
        <v>239.25212250019609</v>
      </c>
      <c r="DU153" s="57">
        <f t="shared" si="152"/>
        <v>213.58492101729695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403.99999999999994</v>
      </c>
      <c r="EK153" s="17">
        <f>EJ153*VLOOKUP('Données projet'!$B$15,Paramètres!$A$1:$I$89,3,0)*VLOOKUP('Données projet'!$B$15,Paramètres!$A$1:$I$89,5,0)</f>
        <v>346.63200000000001</v>
      </c>
      <c r="EL153" s="13">
        <f t="shared" si="153"/>
        <v>80.868615263336864</v>
      </c>
      <c r="EM153" s="20">
        <f t="shared" si="127"/>
        <v>744.56357158364483</v>
      </c>
      <c r="EN153" s="57">
        <f t="shared" si="128"/>
        <v>1037.8969049169782</v>
      </c>
      <c r="EO153" s="57">
        <f ca="1">AVERAGE(OFFSET($EN$3,0,0,'Données projet'!$E$15+1,1))-AVERAGE(OFFSET($H$3,0,0,'Données projet'!$E$15+1,1))</f>
        <v>447.10969593632467</v>
      </c>
      <c r="EP153" s="57">
        <f t="shared" si="154"/>
        <v>256.77417912163997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54.928677318529807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54.928677318529807</v>
      </c>
      <c r="EZ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7" t="e">
        <f t="shared" si="131"/>
        <v>#N/A</v>
      </c>
      <c r="FJ153" s="57" t="e">
        <f ca="1">AVERAGE(OFFSET($FI$3,0,0,'Données projet'!$E$16+1,1))-AVERAGE(OFFSET($H$3,0,0,'Données projet'!$E$16+1,1))</f>
        <v>#N/A</v>
      </c>
      <c r="FK153" s="57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7" t="e">
        <f t="shared" si="134"/>
        <v>#N/A</v>
      </c>
      <c r="GE153" s="57" t="e">
        <f ca="1">AVERAGE(OFFSET($GD$3,0,0,'Données projet'!$E$17+1,1))-AVERAGE(OFFSET($H$3,0,0,'Données projet'!$E$17+1,1))</f>
        <v>#N/A</v>
      </c>
      <c r="GF153" s="57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7" t="e">
        <f t="shared" si="137"/>
        <v>#N/A</v>
      </c>
      <c r="GZ153" s="57" t="e">
        <f ca="1">AVERAGE(OFFSET($GY$3,0,0,'Données projet'!$E$18+1,1))-AVERAGE(OFFSET($H$3,0,0,'Données projet'!$E$18+1,1))</f>
        <v>#N/A</v>
      </c>
      <c r="HA153" s="57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0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4">
        <f t="shared" si="110"/>
        <v>256.66666666666669</v>
      </c>
      <c r="I154" s="6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636.99999999999977</v>
      </c>
      <c r="O154" s="13">
        <f>N154*VLOOKUP('Données projet'!$B$9,Paramètres!$A$1:$I$89,3,0)*VLOOKUP('Données projet'!$B$9,Paramètres!$A$1:$I$89,5,0)</f>
        <v>356.08299999999991</v>
      </c>
      <c r="P154" s="13">
        <f t="shared" si="141"/>
        <v>82.813805255716545</v>
      </c>
      <c r="Q154" s="20">
        <f t="shared" ref="Q154:Q203" si="162">(O154+P154)*0.475*44/12</f>
        <v>764.41193582037283</v>
      </c>
      <c r="R154" s="57">
        <f t="shared" si="109"/>
        <v>1057.7452691537062</v>
      </c>
      <c r="S154" s="57">
        <f ca="1">AVERAGE(OFFSET($R$3,0,0,'Données projet'!$E$9+1,1))-AVERAGE(OFFSET($H$3,0,0,'Données projet'!$E$9+1,1))</f>
        <v>443.34220761968419</v>
      </c>
      <c r="T154" s="57">
        <f t="shared" si="142"/>
        <v>546.58234447298014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16.119540887739976</v>
      </c>
      <c r="AA154" s="21">
        <f>EXP(-LN(2)/25)*AA153+(1-EXP(-LN(2)/25))/(LN(2)/25)*Calculateur!V154*Calculateur!X154*VLOOKUP('Données projet'!$B$9,Paramètres!$A$1:$I$89,3,0)*0.475*44/12</f>
        <v>0.76594586594518665</v>
      </c>
      <c r="AB154" s="21">
        <f>EXP(-LN(2)/2)*AB153+(1-EXP(-LN(2)/2))/(LN(2)/2)*V154*Y154*VLOOKUP('Données projet'!$B$9,Paramètres!$A$1:$I$89,3,0)*0.475*44/12</f>
        <v>3.7055389283406445E-18</v>
      </c>
      <c r="AC154" s="22">
        <f t="shared" ref="AC154:AC203" si="163">SUM(Z154:AB154)</f>
        <v>16.885486753685164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911.99999999999898</v>
      </c>
      <c r="AJ154" s="13">
        <f>AI154*VLOOKUP('Données projet'!$B$10,Paramètres!$A$1:$I$89,3,0)*VLOOKUP('Données projet'!$B$10,Paramètres!$A$1:$I$89,5,0)</f>
        <v>426.81599999999946</v>
      </c>
      <c r="AK154" s="13">
        <f t="shared" ref="AK154:AK203" si="164">EXP(-1.0587+0.8836*LN(AJ154)+0.284)</f>
        <v>97.192496986872399</v>
      </c>
      <c r="AL154" s="20">
        <f t="shared" ref="AL154:AL203" si="165">(AJ154+AK154)*0.475*44/12</f>
        <v>912.64813225213504</v>
      </c>
      <c r="AM154" s="57">
        <f t="shared" si="113"/>
        <v>1205.9814655854684</v>
      </c>
      <c r="AN154" s="57">
        <f ca="1">AVERAGE(OFFSET($AM$3,0,0,'Données projet'!$E$10+1,1))-AVERAGE(OFFSET($H$3,0,0,'Données projet'!$E$10+1,1))</f>
        <v>524.3999528951972</v>
      </c>
      <c r="AO154" s="57">
        <f t="shared" si="144"/>
        <v>459.3547783500515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36.427785931987373</v>
      </c>
      <c r="AV154" s="21">
        <f>EXP(-LN(2)/25)*AV153+(1-EXP(-LN(2)/25))/(LN(2)/25)*Calculateur!AQ154*Calculateur!AS154*VLOOKUP('Données projet'!$B$10,Paramètres!$A$1:$I$89,3,0)*0.475*44/12</f>
        <v>1.8658945668812541</v>
      </c>
      <c r="AW154" s="21">
        <f>EXP(-LN(2)/2)*AW153+(1-EXP(-LN(2)/2))/(LN(2)/2)*AQ154*AT154*VLOOKUP('Données projet'!$B$10,Paramètres!$A$1:$I$89,3,0)*0.475*44/12</f>
        <v>7.3122187093406521E-19</v>
      </c>
      <c r="AX154" s="21">
        <f t="shared" ref="AX154:AX203" si="166">SUM(AU154:AW154)</f>
        <v>38.293680498868625</v>
      </c>
      <c r="AY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852.00000000000011</v>
      </c>
      <c r="BE154" s="13">
        <f>BD154*VLOOKUP('Données projet'!$B$11,Paramètres!$A$1:$I$89,3,0)*VLOOKUP('Données projet'!$B$11,Paramètres!$A$1:$I$89,5,0)</f>
        <v>409.81200000000013</v>
      </c>
      <c r="BF154" s="13">
        <f t="shared" ref="BF154:BF203" si="167">EXP(-1.0587+0.8836*LN(BE154)+0.284)</f>
        <v>93.76308331402879</v>
      </c>
      <c r="BG154" s="20">
        <f t="shared" ref="BG154:BG203" si="168">(BE154+BF154)*0.475*44/12</f>
        <v>877.05993677193362</v>
      </c>
      <c r="BH154" s="57">
        <f t="shared" si="116"/>
        <v>1170.393270105267</v>
      </c>
      <c r="BI154" s="57">
        <f ca="1">AVERAGE(OFFSET($BH$3,0,0,'Données projet'!$E$11+1,1))-AVERAGE(OFFSET($H$3,0,0,'Données projet'!$E$11+1,1))</f>
        <v>495.6473104257044</v>
      </c>
      <c r="BJ154" s="57">
        <f t="shared" si="146"/>
        <v>430.92527296485201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37.948823457879222</v>
      </c>
      <c r="BQ154" s="21">
        <f>EXP(-LN(2)/25)*BQ153+(1-EXP(-LN(2)/25))/(LN(2)/25)*Calculateur!BL154*Calculateur!BN154*VLOOKUP('Données projet'!$B$11,Paramètres!$A$1:$I$89,3,0)*0.475*44/12</f>
        <v>1.7579145572237722</v>
      </c>
      <c r="BR154" s="21">
        <f>EXP(-LN(2)/2)*BR153+(1-EXP(-LN(2)/2))/(LN(2)/2)*BL154*BO154*VLOOKUP('Données projet'!$B$11,Paramètres!$A$1:$I$89,3,0)*0.475*44/12</f>
        <v>4.4883256043830939E-19</v>
      </c>
      <c r="BS154" s="22">
        <f t="shared" ref="BS154:BS203" si="169">SUM(BP154:BR154)</f>
        <v>39.706738015102992</v>
      </c>
      <c r="BT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7" t="e">
        <f t="shared" si="119"/>
        <v>#NUM!</v>
      </c>
      <c r="CD154" s="57">
        <f ca="1">AVERAGE(OFFSET($CC$3,0,0,'Données projet'!$E$12+1,1))-AVERAGE(OFFSET($H$3,0,0,'Données projet'!$E$12+1,1))</f>
        <v>187.80389738728508</v>
      </c>
      <c r="CE154" s="57">
        <f t="shared" si="148"/>
        <v>439.28159165815265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11.245996389419213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7.5690673170832808E-19</v>
      </c>
      <c r="CN154" s="22">
        <f t="shared" ref="CN154:CN203" si="172">SUM(CK154:CM154)</f>
        <v>11.245996389419213</v>
      </c>
      <c r="CO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267</v>
      </c>
      <c r="CU154" s="17">
        <f>CT154*VLOOKUP('Données projet'!$B$13,Paramètres!$A$1:$I$89,3,0)*VLOOKUP('Données projet'!$B$13,Paramètres!$A$1:$I$89,5,0)</f>
        <v>241.58159999999998</v>
      </c>
      <c r="CV154" s="13">
        <f t="shared" ref="CV154:CV203" si="173">EXP(-1.0587+0.8836*LN(CU154)+0.284)</f>
        <v>58.779689232021951</v>
      </c>
      <c r="CW154" s="20">
        <f t="shared" ref="CW154:CW203" si="174">(CU154+CV154)*0.475*44/12</f>
        <v>523.12924541243819</v>
      </c>
      <c r="CX154" s="57">
        <f t="shared" si="122"/>
        <v>816.46257874577145</v>
      </c>
      <c r="CY154" s="57">
        <f ca="1">AVERAGE(OFFSET($CX$3,0,0,'Données projet'!$E$13+1,1))-AVERAGE(OFFSET($H$3,0,0,'Données projet'!$E$13+1,1))</f>
        <v>364.3481978218424</v>
      </c>
      <c r="CZ154" s="57">
        <f t="shared" si="150"/>
        <v>231.36959598460686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37.052124535060699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37.052124535060699</v>
      </c>
      <c r="DJ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255.00000000000006</v>
      </c>
      <c r="DP154" s="17">
        <f>DO154*VLOOKUP('Données projet'!$B$14,Paramètres!$A$1:$I$89,3,0)*VLOOKUP('Données projet'!$B$14,Paramètres!$A$1:$I$89,5,0)</f>
        <v>186.96600000000004</v>
      </c>
      <c r="DQ154" s="13">
        <f t="shared" ref="DQ154:DQ203" si="176">EXP(-1.0587+0.8836*LN(DP154)+0.284)</f>
        <v>46.868551400324648</v>
      </c>
      <c r="DR154" s="20">
        <f t="shared" ref="DR154:DR203" si="177">(DP154+DQ154)*0.475*44/12</f>
        <v>407.26184368889881</v>
      </c>
      <c r="DS154" s="57">
        <f t="shared" si="125"/>
        <v>700.59517702223206</v>
      </c>
      <c r="DT154" s="57">
        <f ca="1">AVERAGE(OFFSET($DS$3,0,0,'Données projet'!$E$14+1,1))-AVERAGE(OFFSET($H$3,0,0,'Données projet'!$E$14+1,1))</f>
        <v>239.25212250019609</v>
      </c>
      <c r="DU154" s="57">
        <f t="shared" si="152"/>
        <v>213.58492101729695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403.99999999999994</v>
      </c>
      <c r="EK154" s="17">
        <f>EJ154*VLOOKUP('Données projet'!$B$15,Paramètres!$A$1:$I$89,3,0)*VLOOKUP('Données projet'!$B$15,Paramètres!$A$1:$I$89,5,0)</f>
        <v>346.63200000000001</v>
      </c>
      <c r="EL154" s="13">
        <f t="shared" ref="EL154:EL203" si="179">EXP(-1.0587+0.8836*LN(EK154)+0.284)</f>
        <v>80.868615263336864</v>
      </c>
      <c r="EM154" s="20">
        <f t="shared" ref="EM154:EM203" si="180">(EK154+EL154)*0.475*44/12</f>
        <v>744.56357158364483</v>
      </c>
      <c r="EN154" s="57">
        <f t="shared" si="128"/>
        <v>1037.8969049169782</v>
      </c>
      <c r="EO154" s="57">
        <f ca="1">AVERAGE(OFFSET($EN$3,0,0,'Données projet'!$E$15+1,1))-AVERAGE(OFFSET($H$3,0,0,'Données projet'!$E$15+1,1))</f>
        <v>447.10969593632467</v>
      </c>
      <c r="EP154" s="57">
        <f t="shared" si="154"/>
        <v>256.77417912163997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53.851559459498439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53.851559459498439</v>
      </c>
      <c r="EZ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7" t="e">
        <f t="shared" si="131"/>
        <v>#N/A</v>
      </c>
      <c r="FJ154" s="57" t="e">
        <f ca="1">AVERAGE(OFFSET($FI$3,0,0,'Données projet'!$E$16+1,1))-AVERAGE(OFFSET($H$3,0,0,'Données projet'!$E$16+1,1))</f>
        <v>#N/A</v>
      </c>
      <c r="FK154" s="57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7" t="e">
        <f t="shared" si="134"/>
        <v>#N/A</v>
      </c>
      <c r="GE154" s="57" t="e">
        <f ca="1">AVERAGE(OFFSET($GD$3,0,0,'Données projet'!$E$17+1,1))-AVERAGE(OFFSET($H$3,0,0,'Données projet'!$E$17+1,1))</f>
        <v>#N/A</v>
      </c>
      <c r="GF154" s="57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7" t="e">
        <f t="shared" si="137"/>
        <v>#N/A</v>
      </c>
      <c r="GZ154" s="57" t="e">
        <f ca="1">AVERAGE(OFFSET($GY$3,0,0,'Données projet'!$E$18+1,1))-AVERAGE(OFFSET($H$3,0,0,'Données projet'!$E$18+1,1))</f>
        <v>#N/A</v>
      </c>
      <c r="HA154" s="57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0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4">
        <f t="shared" si="110"/>
        <v>256.66666666666669</v>
      </c>
      <c r="I155" s="6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636.99999999999977</v>
      </c>
      <c r="O155" s="13">
        <f>N155*VLOOKUP('Données projet'!$B$9,Paramètres!$A$1:$I$89,3,0)*VLOOKUP('Données projet'!$B$9,Paramètres!$A$1:$I$89,5,0)</f>
        <v>356.08299999999991</v>
      </c>
      <c r="P155" s="13">
        <f t="shared" si="141"/>
        <v>82.813805255716545</v>
      </c>
      <c r="Q155" s="20">
        <f t="shared" si="162"/>
        <v>764.41193582037283</v>
      </c>
      <c r="R155" s="57">
        <f t="shared" si="109"/>
        <v>1057.7452691537062</v>
      </c>
      <c r="S155" s="57">
        <f ca="1">AVERAGE(OFFSET($R$3,0,0,'Données projet'!$E$9+1,1))-AVERAGE(OFFSET($H$3,0,0,'Données projet'!$E$9+1,1))</f>
        <v>443.34220761968419</v>
      </c>
      <c r="T155" s="57">
        <f t="shared" si="142"/>
        <v>546.58234447298014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15.803446522880513</v>
      </c>
      <c r="AA155" s="21">
        <f>EXP(-LN(2)/25)*AA154+(1-EXP(-LN(2)/25))/(LN(2)/25)*Calculateur!V155*Calculateur!X155*VLOOKUP('Données projet'!$B$9,Paramètres!$A$1:$I$89,3,0)*0.475*44/12</f>
        <v>0.74500103596157308</v>
      </c>
      <c r="AB155" s="21">
        <f>EXP(-LN(2)/2)*AB154+(1-EXP(-LN(2)/2))/(LN(2)/2)*V155*Y155*VLOOKUP('Données projet'!$B$9,Paramètres!$A$1:$I$89,3,0)*0.475*44/12</f>
        <v>2.6202117041804019E-18</v>
      </c>
      <c r="AC155" s="22">
        <f t="shared" si="163"/>
        <v>16.548447558842085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911.99999999999898</v>
      </c>
      <c r="AJ155" s="13">
        <f>AI155*VLOOKUP('Données projet'!$B$10,Paramètres!$A$1:$I$89,3,0)*VLOOKUP('Données projet'!$B$10,Paramètres!$A$1:$I$89,5,0)</f>
        <v>426.81599999999946</v>
      </c>
      <c r="AK155" s="13">
        <f t="shared" si="164"/>
        <v>97.192496986872399</v>
      </c>
      <c r="AL155" s="20">
        <f t="shared" si="165"/>
        <v>912.64813225213504</v>
      </c>
      <c r="AM155" s="57">
        <f t="shared" si="113"/>
        <v>1205.9814655854684</v>
      </c>
      <c r="AN155" s="57">
        <f ca="1">AVERAGE(OFFSET($AM$3,0,0,'Données projet'!$E$10+1,1))-AVERAGE(OFFSET($H$3,0,0,'Données projet'!$E$10+1,1))</f>
        <v>524.3999528951972</v>
      </c>
      <c r="AO155" s="57">
        <f t="shared" si="144"/>
        <v>459.3547783500515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35.713459268616596</v>
      </c>
      <c r="AV155" s="21">
        <f>EXP(-LN(2)/25)*AV154+(1-EXP(-LN(2)/25))/(LN(2)/25)*Calculateur!AQ155*Calculateur!AS155*VLOOKUP('Données projet'!$B$10,Paramètres!$A$1:$I$89,3,0)*0.475*44/12</f>
        <v>1.8148715818267556</v>
      </c>
      <c r="AW155" s="21">
        <f>EXP(-LN(2)/2)*AW154+(1-EXP(-LN(2)/2))/(LN(2)/2)*AQ155*AT155*VLOOKUP('Données projet'!$B$10,Paramètres!$A$1:$I$89,3,0)*0.475*44/12</f>
        <v>5.1705194348939194E-19</v>
      </c>
      <c r="AX155" s="21">
        <f t="shared" si="166"/>
        <v>37.528330850443353</v>
      </c>
      <c r="AY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852.00000000000011</v>
      </c>
      <c r="BE155" s="13">
        <f>BD155*VLOOKUP('Données projet'!$B$11,Paramètres!$A$1:$I$89,3,0)*VLOOKUP('Données projet'!$B$11,Paramètres!$A$1:$I$89,5,0)</f>
        <v>409.81200000000013</v>
      </c>
      <c r="BF155" s="13">
        <f t="shared" si="167"/>
        <v>93.76308331402879</v>
      </c>
      <c r="BG155" s="20">
        <f t="shared" si="168"/>
        <v>877.05993677193362</v>
      </c>
      <c r="BH155" s="57">
        <f t="shared" si="116"/>
        <v>1170.393270105267</v>
      </c>
      <c r="BI155" s="57">
        <f ca="1">AVERAGE(OFFSET($BH$3,0,0,'Données projet'!$E$11+1,1))-AVERAGE(OFFSET($H$3,0,0,'Données projet'!$E$11+1,1))</f>
        <v>495.6473104257044</v>
      </c>
      <c r="BJ155" s="57">
        <f t="shared" si="146"/>
        <v>430.92527296485201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37.204670176366996</v>
      </c>
      <c r="BQ155" s="21">
        <f>EXP(-LN(2)/25)*BQ154+(1-EXP(-LN(2)/25))/(LN(2)/25)*Calculateur!BL155*Calculateur!BN155*VLOOKUP('Données projet'!$B$11,Paramètres!$A$1:$I$89,3,0)*0.475*44/12</f>
        <v>1.7098442912117793</v>
      </c>
      <c r="BR155" s="21">
        <f>EXP(-LN(2)/2)*BR154+(1-EXP(-LN(2)/2))/(LN(2)/2)*BL155*BO155*VLOOKUP('Données projet'!$B$11,Paramètres!$A$1:$I$89,3,0)*0.475*44/12</f>
        <v>3.173725471032495E-19</v>
      </c>
      <c r="BS155" s="22">
        <f t="shared" si="169"/>
        <v>38.914514467578776</v>
      </c>
      <c r="BT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7" t="e">
        <f t="shared" si="119"/>
        <v>#NUM!</v>
      </c>
      <c r="CD155" s="57">
        <f ca="1">AVERAGE(OFFSET($CC$3,0,0,'Données projet'!$E$12+1,1))-AVERAGE(OFFSET($H$3,0,0,'Données projet'!$E$12+1,1))</f>
        <v>187.80389738728508</v>
      </c>
      <c r="CE155" s="57">
        <f t="shared" si="148"/>
        <v>439.28159165815265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11.025469259603192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5.3521388271670557E-19</v>
      </c>
      <c r="CN155" s="22">
        <f t="shared" si="172"/>
        <v>11.025469259603192</v>
      </c>
      <c r="CO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267</v>
      </c>
      <c r="CU155" s="17">
        <f>CT155*VLOOKUP('Données projet'!$B$13,Paramètres!$A$1:$I$89,3,0)*VLOOKUP('Données projet'!$B$13,Paramètres!$A$1:$I$89,5,0)</f>
        <v>241.58159999999998</v>
      </c>
      <c r="CV155" s="13">
        <f t="shared" si="173"/>
        <v>58.779689232021951</v>
      </c>
      <c r="CW155" s="20">
        <f t="shared" si="174"/>
        <v>523.12924541243819</v>
      </c>
      <c r="CX155" s="57">
        <f t="shared" si="122"/>
        <v>816.46257874577145</v>
      </c>
      <c r="CY155" s="57">
        <f ca="1">AVERAGE(OFFSET($CX$3,0,0,'Données projet'!$E$13+1,1))-AVERAGE(OFFSET($H$3,0,0,'Données projet'!$E$13+1,1))</f>
        <v>364.3481978218424</v>
      </c>
      <c r="CZ155" s="57">
        <f t="shared" si="150"/>
        <v>231.36959598460686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36.325554972492604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36.325554972492604</v>
      </c>
      <c r="DJ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255.00000000000006</v>
      </c>
      <c r="DP155" s="17">
        <f>DO155*VLOOKUP('Données projet'!$B$14,Paramètres!$A$1:$I$89,3,0)*VLOOKUP('Données projet'!$B$14,Paramètres!$A$1:$I$89,5,0)</f>
        <v>186.96600000000004</v>
      </c>
      <c r="DQ155" s="13">
        <f t="shared" si="176"/>
        <v>46.868551400324648</v>
      </c>
      <c r="DR155" s="20">
        <f t="shared" si="177"/>
        <v>407.26184368889881</v>
      </c>
      <c r="DS155" s="57">
        <f t="shared" si="125"/>
        <v>700.59517702223206</v>
      </c>
      <c r="DT155" s="57">
        <f ca="1">AVERAGE(OFFSET($DS$3,0,0,'Données projet'!$E$14+1,1))-AVERAGE(OFFSET($H$3,0,0,'Données projet'!$E$14+1,1))</f>
        <v>239.25212250019609</v>
      </c>
      <c r="DU155" s="57">
        <f t="shared" si="152"/>
        <v>213.58492101729695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403.99999999999994</v>
      </c>
      <c r="EK155" s="17">
        <f>EJ155*VLOOKUP('Données projet'!$B$15,Paramètres!$A$1:$I$89,3,0)*VLOOKUP('Données projet'!$B$15,Paramètres!$A$1:$I$89,5,0)</f>
        <v>346.63200000000001</v>
      </c>
      <c r="EL155" s="13">
        <f t="shared" si="179"/>
        <v>80.868615263336864</v>
      </c>
      <c r="EM155" s="20">
        <f t="shared" si="180"/>
        <v>744.56357158364483</v>
      </c>
      <c r="EN155" s="57">
        <f t="shared" si="128"/>
        <v>1037.8969049169782</v>
      </c>
      <c r="EO155" s="57">
        <f ca="1">AVERAGE(OFFSET($EN$3,0,0,'Données projet'!$E$15+1,1))-AVERAGE(OFFSET($H$3,0,0,'Données projet'!$E$15+1,1))</f>
        <v>447.10969593632467</v>
      </c>
      <c r="EP155" s="57">
        <f t="shared" si="154"/>
        <v>256.77417912163997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52.795563224705653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52.795563224705653</v>
      </c>
      <c r="EZ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7" t="e">
        <f t="shared" si="131"/>
        <v>#N/A</v>
      </c>
      <c r="FJ155" s="57" t="e">
        <f ca="1">AVERAGE(OFFSET($FI$3,0,0,'Données projet'!$E$16+1,1))-AVERAGE(OFFSET($H$3,0,0,'Données projet'!$E$16+1,1))</f>
        <v>#N/A</v>
      </c>
      <c r="FK155" s="57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7" t="e">
        <f t="shared" si="134"/>
        <v>#N/A</v>
      </c>
      <c r="GE155" s="57" t="e">
        <f ca="1">AVERAGE(OFFSET($GD$3,0,0,'Données projet'!$E$17+1,1))-AVERAGE(OFFSET($H$3,0,0,'Données projet'!$E$17+1,1))</f>
        <v>#N/A</v>
      </c>
      <c r="GF155" s="57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7" t="e">
        <f t="shared" si="137"/>
        <v>#N/A</v>
      </c>
      <c r="GZ155" s="57" t="e">
        <f ca="1">AVERAGE(OFFSET($GY$3,0,0,'Données projet'!$E$18+1,1))-AVERAGE(OFFSET($H$3,0,0,'Données projet'!$E$18+1,1))</f>
        <v>#N/A</v>
      </c>
      <c r="HA155" s="57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0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4">
        <f t="shared" si="110"/>
        <v>256.66666666666669</v>
      </c>
      <c r="I156" s="6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636.99999999999977</v>
      </c>
      <c r="O156" s="13">
        <f>N156*VLOOKUP('Données projet'!$B$9,Paramètres!$A$1:$I$89,3,0)*VLOOKUP('Données projet'!$B$9,Paramètres!$A$1:$I$89,5,0)</f>
        <v>356.08299999999991</v>
      </c>
      <c r="P156" s="13">
        <f t="shared" si="141"/>
        <v>82.813805255716545</v>
      </c>
      <c r="Q156" s="20">
        <f t="shared" si="162"/>
        <v>764.41193582037283</v>
      </c>
      <c r="R156" s="57">
        <f t="shared" si="109"/>
        <v>1057.7452691537062</v>
      </c>
      <c r="S156" s="57">
        <f ca="1">AVERAGE(OFFSET($R$3,0,0,'Données projet'!$E$9+1,1))-AVERAGE(OFFSET($H$3,0,0,'Données projet'!$E$9+1,1))</f>
        <v>443.34220761968419</v>
      </c>
      <c r="T156" s="57">
        <f t="shared" si="142"/>
        <v>546.58234447298014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15.493550575717418</v>
      </c>
      <c r="AA156" s="21">
        <f>EXP(-LN(2)/25)*AA155+(1-EXP(-LN(2)/25))/(LN(2)/25)*Calculateur!V156*Calculateur!X156*VLOOKUP('Données projet'!$B$9,Paramètres!$A$1:$I$89,3,0)*0.475*44/12</f>
        <v>0.72462894345530215</v>
      </c>
      <c r="AB156" s="21">
        <f>EXP(-LN(2)/2)*AB155+(1-EXP(-LN(2)/2))/(LN(2)/2)*V156*Y156*VLOOKUP('Données projet'!$B$9,Paramètres!$A$1:$I$89,3,0)*0.475*44/12</f>
        <v>1.8527694641703222E-18</v>
      </c>
      <c r="AC156" s="22">
        <f t="shared" si="163"/>
        <v>16.218179519172718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911.99999999999898</v>
      </c>
      <c r="AJ156" s="13">
        <f>AI156*VLOOKUP('Données projet'!$B$10,Paramètres!$A$1:$I$89,3,0)*VLOOKUP('Données projet'!$B$10,Paramètres!$A$1:$I$89,5,0)</f>
        <v>426.81599999999946</v>
      </c>
      <c r="AK156" s="13">
        <f t="shared" si="164"/>
        <v>97.192496986872399</v>
      </c>
      <c r="AL156" s="20">
        <f t="shared" si="165"/>
        <v>912.64813225213504</v>
      </c>
      <c r="AM156" s="57">
        <f t="shared" si="113"/>
        <v>1205.9814655854684</v>
      </c>
      <c r="AN156" s="57">
        <f ca="1">AVERAGE(OFFSET($AM$3,0,0,'Données projet'!$E$10+1,1))-AVERAGE(OFFSET($H$3,0,0,'Données projet'!$E$10+1,1))</f>
        <v>524.3999528951972</v>
      </c>
      <c r="AO156" s="57">
        <f t="shared" si="144"/>
        <v>459.3547783500515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35.013140115418281</v>
      </c>
      <c r="AV156" s="21">
        <f>EXP(-LN(2)/25)*AV155+(1-EXP(-LN(2)/25))/(LN(2)/25)*Calculateur!AQ156*Calculateur!AS156*VLOOKUP('Données projet'!$B$10,Paramètres!$A$1:$I$89,3,0)*0.475*44/12</f>
        <v>1.7652438229817544</v>
      </c>
      <c r="AW156" s="21">
        <f>EXP(-LN(2)/2)*AW155+(1-EXP(-LN(2)/2))/(LN(2)/2)*AQ156*AT156*VLOOKUP('Données projet'!$B$10,Paramètres!$A$1:$I$89,3,0)*0.475*44/12</f>
        <v>3.6561093546703261E-19</v>
      </c>
      <c r="AX156" s="21">
        <f t="shared" si="166"/>
        <v>36.778383938400033</v>
      </c>
      <c r="AY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852.00000000000011</v>
      </c>
      <c r="BE156" s="13">
        <f>BD156*VLOOKUP('Données projet'!$B$11,Paramètres!$A$1:$I$89,3,0)*VLOOKUP('Données projet'!$B$11,Paramètres!$A$1:$I$89,5,0)</f>
        <v>409.81200000000013</v>
      </c>
      <c r="BF156" s="13">
        <f t="shared" si="167"/>
        <v>93.76308331402879</v>
      </c>
      <c r="BG156" s="20">
        <f t="shared" si="168"/>
        <v>877.05993677193362</v>
      </c>
      <c r="BH156" s="57">
        <f t="shared" si="116"/>
        <v>1170.393270105267</v>
      </c>
      <c r="BI156" s="57">
        <f ca="1">AVERAGE(OFFSET($BH$3,0,0,'Données projet'!$E$11+1,1))-AVERAGE(OFFSET($H$3,0,0,'Données projet'!$E$11+1,1))</f>
        <v>495.6473104257044</v>
      </c>
      <c r="BJ156" s="57">
        <f t="shared" si="146"/>
        <v>430.92527296485201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36.47510928681654</v>
      </c>
      <c r="BQ156" s="21">
        <f>EXP(-LN(2)/25)*BQ155+(1-EXP(-LN(2)/25))/(LN(2)/25)*Calculateur!BL156*Calculateur!BN156*VLOOKUP('Données projet'!$B$11,Paramètres!$A$1:$I$89,3,0)*0.475*44/12</f>
        <v>1.6630885091517897</v>
      </c>
      <c r="BR156" s="21">
        <f>EXP(-LN(2)/2)*BR155+(1-EXP(-LN(2)/2))/(LN(2)/2)*BL156*BO156*VLOOKUP('Données projet'!$B$11,Paramètres!$A$1:$I$89,3,0)*0.475*44/12</f>
        <v>2.2441628021915469E-19</v>
      </c>
      <c r="BS156" s="22">
        <f t="shared" si="169"/>
        <v>38.138197795968331</v>
      </c>
      <c r="BT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7" t="e">
        <f t="shared" si="119"/>
        <v>#NUM!</v>
      </c>
      <c r="CD156" s="57">
        <f ca="1">AVERAGE(OFFSET($CC$3,0,0,'Données projet'!$E$12+1,1))-AVERAGE(OFFSET($H$3,0,0,'Données projet'!$E$12+1,1))</f>
        <v>187.80389738728508</v>
      </c>
      <c r="CE156" s="57">
        <f t="shared" si="148"/>
        <v>439.28159165815265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10.809266532294595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3.7845336585416404E-19</v>
      </c>
      <c r="CN156" s="22">
        <f t="shared" si="172"/>
        <v>10.809266532294595</v>
      </c>
      <c r="CO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267</v>
      </c>
      <c r="CU156" s="17">
        <f>CT156*VLOOKUP('Données projet'!$B$13,Paramètres!$A$1:$I$89,3,0)*VLOOKUP('Données projet'!$B$13,Paramètres!$A$1:$I$89,5,0)</f>
        <v>241.58159999999998</v>
      </c>
      <c r="CV156" s="13">
        <f t="shared" si="173"/>
        <v>58.779689232021951</v>
      </c>
      <c r="CW156" s="20">
        <f t="shared" si="174"/>
        <v>523.12924541243819</v>
      </c>
      <c r="CX156" s="57">
        <f t="shared" si="122"/>
        <v>816.46257874577145</v>
      </c>
      <c r="CY156" s="57">
        <f ca="1">AVERAGE(OFFSET($CX$3,0,0,'Données projet'!$E$13+1,1))-AVERAGE(OFFSET($H$3,0,0,'Données projet'!$E$13+1,1))</f>
        <v>364.3481978218424</v>
      </c>
      <c r="CZ156" s="57">
        <f t="shared" si="150"/>
        <v>231.36959598460686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35.613232995882797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35.613232995882797</v>
      </c>
      <c r="DJ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255.00000000000006</v>
      </c>
      <c r="DP156" s="17">
        <f>DO156*VLOOKUP('Données projet'!$B$14,Paramètres!$A$1:$I$89,3,0)*VLOOKUP('Données projet'!$B$14,Paramètres!$A$1:$I$89,5,0)</f>
        <v>186.96600000000004</v>
      </c>
      <c r="DQ156" s="13">
        <f t="shared" si="176"/>
        <v>46.868551400324648</v>
      </c>
      <c r="DR156" s="20">
        <f t="shared" si="177"/>
        <v>407.26184368889881</v>
      </c>
      <c r="DS156" s="57">
        <f t="shared" si="125"/>
        <v>700.59517702223206</v>
      </c>
      <c r="DT156" s="57">
        <f ca="1">AVERAGE(OFFSET($DS$3,0,0,'Données projet'!$E$14+1,1))-AVERAGE(OFFSET($H$3,0,0,'Données projet'!$E$14+1,1))</f>
        <v>239.25212250019609</v>
      </c>
      <c r="DU156" s="57">
        <f t="shared" si="152"/>
        <v>213.58492101729695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403.99999999999994</v>
      </c>
      <c r="EK156" s="17">
        <f>EJ156*VLOOKUP('Données projet'!$B$15,Paramètres!$A$1:$I$89,3,0)*VLOOKUP('Données projet'!$B$15,Paramètres!$A$1:$I$89,5,0)</f>
        <v>346.63200000000001</v>
      </c>
      <c r="EL156" s="13">
        <f t="shared" si="179"/>
        <v>80.868615263336864</v>
      </c>
      <c r="EM156" s="20">
        <f t="shared" si="180"/>
        <v>744.56357158364483</v>
      </c>
      <c r="EN156" s="57">
        <f t="shared" si="128"/>
        <v>1037.8969049169782</v>
      </c>
      <c r="EO156" s="57">
        <f ca="1">AVERAGE(OFFSET($EN$3,0,0,'Données projet'!$E$15+1,1))-AVERAGE(OFFSET($H$3,0,0,'Données projet'!$E$15+1,1))</f>
        <v>447.10969593632467</v>
      </c>
      <c r="EP156" s="57">
        <f t="shared" si="154"/>
        <v>256.77417912163997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51.760274431983049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51.760274431983049</v>
      </c>
      <c r="EZ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7" t="e">
        <f t="shared" si="131"/>
        <v>#N/A</v>
      </c>
      <c r="FJ156" s="57" t="e">
        <f ca="1">AVERAGE(OFFSET($FI$3,0,0,'Données projet'!$E$16+1,1))-AVERAGE(OFFSET($H$3,0,0,'Données projet'!$E$16+1,1))</f>
        <v>#N/A</v>
      </c>
      <c r="FK156" s="57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7" t="e">
        <f t="shared" si="134"/>
        <v>#N/A</v>
      </c>
      <c r="GE156" s="57" t="e">
        <f ca="1">AVERAGE(OFFSET($GD$3,0,0,'Données projet'!$E$17+1,1))-AVERAGE(OFFSET($H$3,0,0,'Données projet'!$E$17+1,1))</f>
        <v>#N/A</v>
      </c>
      <c r="GF156" s="57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7" t="e">
        <f t="shared" si="137"/>
        <v>#N/A</v>
      </c>
      <c r="GZ156" s="57" t="e">
        <f ca="1">AVERAGE(OFFSET($GY$3,0,0,'Données projet'!$E$18+1,1))-AVERAGE(OFFSET($H$3,0,0,'Données projet'!$E$18+1,1))</f>
        <v>#N/A</v>
      </c>
      <c r="HA156" s="57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0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4">
        <f t="shared" si="110"/>
        <v>256.66666666666669</v>
      </c>
      <c r="I157" s="6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636.99999999999977</v>
      </c>
      <c r="O157" s="13">
        <f>N157*VLOOKUP('Données projet'!$B$9,Paramètres!$A$1:$I$89,3,0)*VLOOKUP('Données projet'!$B$9,Paramètres!$A$1:$I$89,5,0)</f>
        <v>356.08299999999991</v>
      </c>
      <c r="P157" s="13">
        <f t="shared" si="141"/>
        <v>82.813805255716545</v>
      </c>
      <c r="Q157" s="20">
        <f t="shared" si="162"/>
        <v>764.41193582037283</v>
      </c>
      <c r="R157" s="57">
        <f t="shared" si="109"/>
        <v>1057.7452691537062</v>
      </c>
      <c r="S157" s="57">
        <f ca="1">AVERAGE(OFFSET($R$3,0,0,'Données projet'!$E$9+1,1))-AVERAGE(OFFSET($H$3,0,0,'Données projet'!$E$9+1,1))</f>
        <v>443.34220761968419</v>
      </c>
      <c r="T157" s="57">
        <f t="shared" si="142"/>
        <v>546.58234447298014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15.189731499060327</v>
      </c>
      <c r="AA157" s="21">
        <f>EXP(-LN(2)/25)*AA156+(1-EXP(-LN(2)/25))/(LN(2)/25)*Calculateur!V157*Calculateur!X157*VLOOKUP('Données projet'!$B$9,Paramètres!$A$1:$I$89,3,0)*0.475*44/12</f>
        <v>0.70481392688993694</v>
      </c>
      <c r="AB157" s="21">
        <f>EXP(-LN(2)/2)*AB156+(1-EXP(-LN(2)/2))/(LN(2)/2)*V157*Y157*VLOOKUP('Données projet'!$B$9,Paramètres!$A$1:$I$89,3,0)*0.475*44/12</f>
        <v>1.310105852090201E-18</v>
      </c>
      <c r="AC157" s="22">
        <f t="shared" si="163"/>
        <v>15.894545425950264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911.99999999999898</v>
      </c>
      <c r="AJ157" s="13">
        <f>AI157*VLOOKUP('Données projet'!$B$10,Paramètres!$A$1:$I$89,3,0)*VLOOKUP('Données projet'!$B$10,Paramètres!$A$1:$I$89,5,0)</f>
        <v>426.81599999999946</v>
      </c>
      <c r="AK157" s="13">
        <f t="shared" si="164"/>
        <v>97.192496986872399</v>
      </c>
      <c r="AL157" s="20">
        <f t="shared" si="165"/>
        <v>912.64813225213504</v>
      </c>
      <c r="AM157" s="57">
        <f t="shared" si="113"/>
        <v>1205.9814655854684</v>
      </c>
      <c r="AN157" s="57">
        <f ca="1">AVERAGE(OFFSET($AM$3,0,0,'Données projet'!$E$10+1,1))-AVERAGE(OFFSET($H$3,0,0,'Données projet'!$E$10+1,1))</f>
        <v>524.3999528951972</v>
      </c>
      <c r="AO157" s="57">
        <f t="shared" si="144"/>
        <v>459.3547783500515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34.326553793661681</v>
      </c>
      <c r="AV157" s="21">
        <f>EXP(-LN(2)/25)*AV156+(1-EXP(-LN(2)/25))/(LN(2)/25)*Calculateur!AQ157*Calculateur!AS157*VLOOKUP('Données projet'!$B$10,Paramètres!$A$1:$I$89,3,0)*0.475*44/12</f>
        <v>1.7169731378121802</v>
      </c>
      <c r="AW157" s="21">
        <f>EXP(-LN(2)/2)*AW156+(1-EXP(-LN(2)/2))/(LN(2)/2)*AQ157*AT157*VLOOKUP('Données projet'!$B$10,Paramètres!$A$1:$I$89,3,0)*0.475*44/12</f>
        <v>2.5852597174469597E-19</v>
      </c>
      <c r="AX157" s="21">
        <f t="shared" si="166"/>
        <v>36.043526931473863</v>
      </c>
      <c r="AY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852.00000000000011</v>
      </c>
      <c r="BE157" s="13">
        <f>BD157*VLOOKUP('Données projet'!$B$11,Paramètres!$A$1:$I$89,3,0)*VLOOKUP('Données projet'!$B$11,Paramètres!$A$1:$I$89,5,0)</f>
        <v>409.81200000000013</v>
      </c>
      <c r="BF157" s="13">
        <f t="shared" si="167"/>
        <v>93.76308331402879</v>
      </c>
      <c r="BG157" s="20">
        <f t="shared" si="168"/>
        <v>877.05993677193362</v>
      </c>
      <c r="BH157" s="57">
        <f t="shared" si="116"/>
        <v>1170.393270105267</v>
      </c>
      <c r="BI157" s="57">
        <f ca="1">AVERAGE(OFFSET($BH$3,0,0,'Données projet'!$E$11+1,1))-AVERAGE(OFFSET($H$3,0,0,'Données projet'!$E$11+1,1))</f>
        <v>495.6473104257044</v>
      </c>
      <c r="BJ157" s="57">
        <f t="shared" si="146"/>
        <v>430.92527296485201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35.759854641321965</v>
      </c>
      <c r="BQ157" s="21">
        <f>EXP(-LN(2)/25)*BQ156+(1-EXP(-LN(2)/25))/(LN(2)/25)*Calculateur!BL157*Calculateur!BN157*VLOOKUP('Données projet'!$B$11,Paramètres!$A$1:$I$89,3,0)*0.475*44/12</f>
        <v>1.6176112664110105</v>
      </c>
      <c r="BR157" s="21">
        <f>EXP(-LN(2)/2)*BR156+(1-EXP(-LN(2)/2))/(LN(2)/2)*BL157*BO157*VLOOKUP('Données projet'!$B$11,Paramètres!$A$1:$I$89,3,0)*0.475*44/12</f>
        <v>1.5868627355162475E-19</v>
      </c>
      <c r="BS157" s="22">
        <f t="shared" si="169"/>
        <v>37.377465907732976</v>
      </c>
      <c r="BT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7" t="e">
        <f t="shared" si="119"/>
        <v>#NUM!</v>
      </c>
      <c r="CD157" s="57">
        <f ca="1">AVERAGE(OFFSET($CC$3,0,0,'Données projet'!$E$12+1,1))-AVERAGE(OFFSET($H$3,0,0,'Données projet'!$E$12+1,1))</f>
        <v>187.80389738728508</v>
      </c>
      <c r="CE157" s="57">
        <f t="shared" si="148"/>
        <v>439.28159165815265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10.597303408597877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2.6760694135835278E-19</v>
      </c>
      <c r="CN157" s="22">
        <f t="shared" si="172"/>
        <v>10.597303408597877</v>
      </c>
      <c r="CO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267</v>
      </c>
      <c r="CU157" s="17">
        <f>CT157*VLOOKUP('Données projet'!$B$13,Paramètres!$A$1:$I$89,3,0)*VLOOKUP('Données projet'!$B$13,Paramètres!$A$1:$I$89,5,0)</f>
        <v>241.58159999999998</v>
      </c>
      <c r="CV157" s="13">
        <f t="shared" si="173"/>
        <v>58.779689232021951</v>
      </c>
      <c r="CW157" s="20">
        <f t="shared" si="174"/>
        <v>523.12924541243819</v>
      </c>
      <c r="CX157" s="57">
        <f t="shared" si="122"/>
        <v>816.46257874577145</v>
      </c>
      <c r="CY157" s="57">
        <f ca="1">AVERAGE(OFFSET($CX$3,0,0,'Données projet'!$E$13+1,1))-AVERAGE(OFFSET($H$3,0,0,'Données projet'!$E$13+1,1))</f>
        <v>364.3481978218424</v>
      </c>
      <c r="CZ157" s="57">
        <f t="shared" si="150"/>
        <v>231.36959598460686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34.914879218760802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34.914879218760802</v>
      </c>
      <c r="DJ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255.00000000000006</v>
      </c>
      <c r="DP157" s="17">
        <f>DO157*VLOOKUP('Données projet'!$B$14,Paramètres!$A$1:$I$89,3,0)*VLOOKUP('Données projet'!$B$14,Paramètres!$A$1:$I$89,5,0)</f>
        <v>186.96600000000004</v>
      </c>
      <c r="DQ157" s="13">
        <f t="shared" si="176"/>
        <v>46.868551400324648</v>
      </c>
      <c r="DR157" s="20">
        <f t="shared" si="177"/>
        <v>407.26184368889881</v>
      </c>
      <c r="DS157" s="57">
        <f t="shared" si="125"/>
        <v>700.59517702223206</v>
      </c>
      <c r="DT157" s="57">
        <f ca="1">AVERAGE(OFFSET($DS$3,0,0,'Données projet'!$E$14+1,1))-AVERAGE(OFFSET($H$3,0,0,'Données projet'!$E$14+1,1))</f>
        <v>239.25212250019609</v>
      </c>
      <c r="DU157" s="57">
        <f t="shared" si="152"/>
        <v>213.58492101729695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403.99999999999994</v>
      </c>
      <c r="EK157" s="17">
        <f>EJ157*VLOOKUP('Données projet'!$B$15,Paramètres!$A$1:$I$89,3,0)*VLOOKUP('Données projet'!$B$15,Paramètres!$A$1:$I$89,5,0)</f>
        <v>346.63200000000001</v>
      </c>
      <c r="EL157" s="13">
        <f t="shared" si="179"/>
        <v>80.868615263336864</v>
      </c>
      <c r="EM157" s="20">
        <f t="shared" si="180"/>
        <v>744.56357158364483</v>
      </c>
      <c r="EN157" s="57">
        <f t="shared" si="128"/>
        <v>1037.8969049169782</v>
      </c>
      <c r="EO157" s="57">
        <f ca="1">AVERAGE(OFFSET($EN$3,0,0,'Données projet'!$E$15+1,1))-AVERAGE(OFFSET($H$3,0,0,'Données projet'!$E$15+1,1))</f>
        <v>447.10969593632467</v>
      </c>
      <c r="EP157" s="57">
        <f t="shared" si="154"/>
        <v>256.77417912163997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50.745287021021923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50.745287021021923</v>
      </c>
      <c r="EZ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7" t="e">
        <f t="shared" si="131"/>
        <v>#N/A</v>
      </c>
      <c r="FJ157" s="57" t="e">
        <f ca="1">AVERAGE(OFFSET($FI$3,0,0,'Données projet'!$E$16+1,1))-AVERAGE(OFFSET($H$3,0,0,'Données projet'!$E$16+1,1))</f>
        <v>#N/A</v>
      </c>
      <c r="FK157" s="57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7" t="e">
        <f t="shared" si="134"/>
        <v>#N/A</v>
      </c>
      <c r="GE157" s="57" t="e">
        <f ca="1">AVERAGE(OFFSET($GD$3,0,0,'Données projet'!$E$17+1,1))-AVERAGE(OFFSET($H$3,0,0,'Données projet'!$E$17+1,1))</f>
        <v>#N/A</v>
      </c>
      <c r="GF157" s="57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7" t="e">
        <f t="shared" si="137"/>
        <v>#N/A</v>
      </c>
      <c r="GZ157" s="57" t="e">
        <f ca="1">AVERAGE(OFFSET($GY$3,0,0,'Données projet'!$E$18+1,1))-AVERAGE(OFFSET($H$3,0,0,'Données projet'!$E$18+1,1))</f>
        <v>#N/A</v>
      </c>
      <c r="HA157" s="57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0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4">
        <f t="shared" si="110"/>
        <v>256.66666666666669</v>
      </c>
      <c r="I158" s="6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636.99999999999977</v>
      </c>
      <c r="O158" s="13">
        <f>N158*VLOOKUP('Données projet'!$B$9,Paramètres!$A$1:$I$89,3,0)*VLOOKUP('Données projet'!$B$9,Paramètres!$A$1:$I$89,5,0)</f>
        <v>356.08299999999991</v>
      </c>
      <c r="P158" s="13">
        <f t="shared" si="141"/>
        <v>82.813805255716545</v>
      </c>
      <c r="Q158" s="20">
        <f t="shared" si="162"/>
        <v>764.41193582037283</v>
      </c>
      <c r="R158" s="57">
        <f t="shared" si="109"/>
        <v>1057.7452691537062</v>
      </c>
      <c r="S158" s="57">
        <f ca="1">AVERAGE(OFFSET($R$3,0,0,'Données projet'!$E$9+1,1))-AVERAGE(OFFSET($H$3,0,0,'Données projet'!$E$9+1,1))</f>
        <v>443.34220761968419</v>
      </c>
      <c r="T158" s="57">
        <f t="shared" si="142"/>
        <v>546.58234447298014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14.891870129185143</v>
      </c>
      <c r="AA158" s="21">
        <f>EXP(-LN(2)/25)*AA157+(1-EXP(-LN(2)/25))/(LN(2)/25)*Calculateur!V158*Calculateur!X158*VLOOKUP('Données projet'!$B$9,Paramètres!$A$1:$I$89,3,0)*0.475*44/12</f>
        <v>0.68554075299457806</v>
      </c>
      <c r="AB158" s="21">
        <f>EXP(-LN(2)/2)*AB157+(1-EXP(-LN(2)/2))/(LN(2)/2)*V158*Y158*VLOOKUP('Données projet'!$B$9,Paramètres!$A$1:$I$89,3,0)*0.475*44/12</f>
        <v>9.2638473208516112E-19</v>
      </c>
      <c r="AC158" s="22">
        <f t="shared" si="163"/>
        <v>15.577410882179722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911.99999999999898</v>
      </c>
      <c r="AJ158" s="13">
        <f>AI158*VLOOKUP('Données projet'!$B$10,Paramètres!$A$1:$I$89,3,0)*VLOOKUP('Données projet'!$B$10,Paramètres!$A$1:$I$89,5,0)</f>
        <v>426.81599999999946</v>
      </c>
      <c r="AK158" s="13">
        <f t="shared" si="164"/>
        <v>97.192496986872399</v>
      </c>
      <c r="AL158" s="20">
        <f t="shared" si="165"/>
        <v>912.64813225213504</v>
      </c>
      <c r="AM158" s="57">
        <f t="shared" si="113"/>
        <v>1205.9814655854684</v>
      </c>
      <c r="AN158" s="57">
        <f ca="1">AVERAGE(OFFSET($AM$3,0,0,'Données projet'!$E$10+1,1))-AVERAGE(OFFSET($H$3,0,0,'Données projet'!$E$10+1,1))</f>
        <v>524.3999528951972</v>
      </c>
      <c r="AO158" s="57">
        <f t="shared" si="144"/>
        <v>459.3547783500515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33.653431010898423</v>
      </c>
      <c r="AV158" s="21">
        <f>EXP(-LN(2)/25)*AV157+(1-EXP(-LN(2)/25))/(LN(2)/25)*Calculateur!AQ158*Calculateur!AS158*VLOOKUP('Données projet'!$B$10,Paramètres!$A$1:$I$89,3,0)*0.475*44/12</f>
        <v>1.670022417067013</v>
      </c>
      <c r="AW158" s="21">
        <f>EXP(-LN(2)/2)*AW157+(1-EXP(-LN(2)/2))/(LN(2)/2)*AQ158*AT158*VLOOKUP('Données projet'!$B$10,Paramètres!$A$1:$I$89,3,0)*0.475*44/12</f>
        <v>1.828054677335163E-19</v>
      </c>
      <c r="AX158" s="21">
        <f t="shared" si="166"/>
        <v>35.323453427965433</v>
      </c>
      <c r="AY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852.00000000000011</v>
      </c>
      <c r="BE158" s="13">
        <f>BD158*VLOOKUP('Données projet'!$B$11,Paramètres!$A$1:$I$89,3,0)*VLOOKUP('Données projet'!$B$11,Paramètres!$A$1:$I$89,5,0)</f>
        <v>409.81200000000013</v>
      </c>
      <c r="BF158" s="13">
        <f t="shared" si="167"/>
        <v>93.76308331402879</v>
      </c>
      <c r="BG158" s="20">
        <f t="shared" si="168"/>
        <v>877.05993677193362</v>
      </c>
      <c r="BH158" s="57">
        <f t="shared" si="116"/>
        <v>1170.393270105267</v>
      </c>
      <c r="BI158" s="57">
        <f ca="1">AVERAGE(OFFSET($BH$3,0,0,'Données projet'!$E$11+1,1))-AVERAGE(OFFSET($H$3,0,0,'Données projet'!$E$11+1,1))</f>
        <v>495.6473104257044</v>
      </c>
      <c r="BJ158" s="57">
        <f t="shared" si="146"/>
        <v>430.92527296485201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35.05862570316328</v>
      </c>
      <c r="BQ158" s="21">
        <f>EXP(-LN(2)/25)*BQ157+(1-EXP(-LN(2)/25))/(LN(2)/25)*Calculateur!BL158*Calculateur!BN158*VLOOKUP('Données projet'!$B$11,Paramètres!$A$1:$I$89,3,0)*0.475*44/12</f>
        <v>1.573377601264522</v>
      </c>
      <c r="BR158" s="21">
        <f>EXP(-LN(2)/2)*BR157+(1-EXP(-LN(2)/2))/(LN(2)/2)*BL158*BO158*VLOOKUP('Données projet'!$B$11,Paramètres!$A$1:$I$89,3,0)*0.475*44/12</f>
        <v>1.1220814010957735E-19</v>
      </c>
      <c r="BS158" s="22">
        <f t="shared" si="169"/>
        <v>36.632003304427805</v>
      </c>
      <c r="BT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7" t="e">
        <f t="shared" si="119"/>
        <v>#NUM!</v>
      </c>
      <c r="CD158" s="57">
        <f ca="1">AVERAGE(OFFSET($CC$3,0,0,'Données projet'!$E$12+1,1))-AVERAGE(OFFSET($H$3,0,0,'Données projet'!$E$12+1,1))</f>
        <v>187.80389738728508</v>
      </c>
      <c r="CE158" s="57">
        <f t="shared" si="148"/>
        <v>439.28159165815265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10.389496752472112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1.8922668292708202E-19</v>
      </c>
      <c r="CN158" s="22">
        <f t="shared" si="172"/>
        <v>10.389496752472112</v>
      </c>
      <c r="CO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267</v>
      </c>
      <c r="CU158" s="17">
        <f>CT158*VLOOKUP('Données projet'!$B$13,Paramètres!$A$1:$I$89,3,0)*VLOOKUP('Données projet'!$B$13,Paramètres!$A$1:$I$89,5,0)</f>
        <v>241.58159999999998</v>
      </c>
      <c r="CV158" s="13">
        <f t="shared" si="173"/>
        <v>58.779689232021951</v>
      </c>
      <c r="CW158" s="20">
        <f t="shared" si="174"/>
        <v>523.12924541243819</v>
      </c>
      <c r="CX158" s="57">
        <f t="shared" si="122"/>
        <v>816.46257874577145</v>
      </c>
      <c r="CY158" s="57">
        <f ca="1">AVERAGE(OFFSET($CX$3,0,0,'Données projet'!$E$13+1,1))-AVERAGE(OFFSET($H$3,0,0,'Données projet'!$E$13+1,1))</f>
        <v>364.3481978218424</v>
      </c>
      <c r="CZ158" s="57">
        <f t="shared" si="150"/>
        <v>231.36959598460686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34.230219733254422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34.230219733254422</v>
      </c>
      <c r="DJ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255.00000000000006</v>
      </c>
      <c r="DP158" s="17">
        <f>DO158*VLOOKUP('Données projet'!$B$14,Paramètres!$A$1:$I$89,3,0)*VLOOKUP('Données projet'!$B$14,Paramètres!$A$1:$I$89,5,0)</f>
        <v>186.96600000000004</v>
      </c>
      <c r="DQ158" s="13">
        <f t="shared" si="176"/>
        <v>46.868551400324648</v>
      </c>
      <c r="DR158" s="20">
        <f t="shared" si="177"/>
        <v>407.26184368889881</v>
      </c>
      <c r="DS158" s="57">
        <f t="shared" si="125"/>
        <v>700.59517702223206</v>
      </c>
      <c r="DT158" s="57">
        <f ca="1">AVERAGE(OFFSET($DS$3,0,0,'Données projet'!$E$14+1,1))-AVERAGE(OFFSET($H$3,0,0,'Données projet'!$E$14+1,1))</f>
        <v>239.25212250019609</v>
      </c>
      <c r="DU158" s="57">
        <f t="shared" si="152"/>
        <v>213.58492101729695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403.99999999999994</v>
      </c>
      <c r="EK158" s="17">
        <f>EJ158*VLOOKUP('Données projet'!$B$15,Paramètres!$A$1:$I$89,3,0)*VLOOKUP('Données projet'!$B$15,Paramètres!$A$1:$I$89,5,0)</f>
        <v>346.63200000000001</v>
      </c>
      <c r="EL158" s="13">
        <f t="shared" si="179"/>
        <v>80.868615263336864</v>
      </c>
      <c r="EM158" s="20">
        <f t="shared" si="180"/>
        <v>744.56357158364483</v>
      </c>
      <c r="EN158" s="57">
        <f t="shared" si="128"/>
        <v>1037.8969049169782</v>
      </c>
      <c r="EO158" s="57">
        <f ca="1">AVERAGE(OFFSET($EN$3,0,0,'Données projet'!$E$15+1,1))-AVERAGE(OFFSET($H$3,0,0,'Données projet'!$E$15+1,1))</f>
        <v>447.10969593632467</v>
      </c>
      <c r="EP158" s="57">
        <f t="shared" si="154"/>
        <v>256.77417912163997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49.750202894108554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49.750202894108554</v>
      </c>
      <c r="EZ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7" t="e">
        <f t="shared" si="131"/>
        <v>#N/A</v>
      </c>
      <c r="FJ158" s="57" t="e">
        <f ca="1">AVERAGE(OFFSET($FI$3,0,0,'Données projet'!$E$16+1,1))-AVERAGE(OFFSET($H$3,0,0,'Données projet'!$E$16+1,1))</f>
        <v>#N/A</v>
      </c>
      <c r="FK158" s="57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7" t="e">
        <f t="shared" si="134"/>
        <v>#N/A</v>
      </c>
      <c r="GE158" s="57" t="e">
        <f ca="1">AVERAGE(OFFSET($GD$3,0,0,'Données projet'!$E$17+1,1))-AVERAGE(OFFSET($H$3,0,0,'Données projet'!$E$17+1,1))</f>
        <v>#N/A</v>
      </c>
      <c r="GF158" s="57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7" t="e">
        <f t="shared" si="137"/>
        <v>#N/A</v>
      </c>
      <c r="GZ158" s="57" t="e">
        <f ca="1">AVERAGE(OFFSET($GY$3,0,0,'Données projet'!$E$18+1,1))-AVERAGE(OFFSET($H$3,0,0,'Données projet'!$E$18+1,1))</f>
        <v>#N/A</v>
      </c>
      <c r="HA158" s="57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0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4">
        <f t="shared" si="110"/>
        <v>256.66666666666669</v>
      </c>
      <c r="I159" s="6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636.99999999999977</v>
      </c>
      <c r="O159" s="13">
        <f>N159*VLOOKUP('Données projet'!$B$9,Paramètres!$A$1:$I$89,3,0)*VLOOKUP('Données projet'!$B$9,Paramètres!$A$1:$I$89,5,0)</f>
        <v>356.08299999999991</v>
      </c>
      <c r="P159" s="13">
        <f t="shared" si="141"/>
        <v>82.813805255716545</v>
      </c>
      <c r="Q159" s="20">
        <f t="shared" si="162"/>
        <v>764.41193582037283</v>
      </c>
      <c r="R159" s="57">
        <f t="shared" si="109"/>
        <v>1057.7452691537062</v>
      </c>
      <c r="S159" s="57">
        <f ca="1">AVERAGE(OFFSET($R$3,0,0,'Données projet'!$E$9+1,1))-AVERAGE(OFFSET($H$3,0,0,'Données projet'!$E$9+1,1))</f>
        <v>443.34220761968419</v>
      </c>
      <c r="T159" s="57">
        <f t="shared" si="142"/>
        <v>546.58234447298014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14.599849639095716</v>
      </c>
      <c r="AA159" s="21">
        <f>EXP(-LN(2)/25)*AA158+(1-EXP(-LN(2)/25))/(LN(2)/25)*Calculateur!V159*Calculateur!X159*VLOOKUP('Données projet'!$B$9,Paramètres!$A$1:$I$89,3,0)*0.475*44/12</f>
        <v>0.66679460505291999</v>
      </c>
      <c r="AB159" s="21">
        <f>EXP(-LN(2)/2)*AB158+(1-EXP(-LN(2)/2))/(LN(2)/2)*V159*Y159*VLOOKUP('Données projet'!$B$9,Paramètres!$A$1:$I$89,3,0)*0.475*44/12</f>
        <v>6.5505292604510048E-19</v>
      </c>
      <c r="AC159" s="22">
        <f t="shared" si="163"/>
        <v>15.266644244148635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911.99999999999898</v>
      </c>
      <c r="AJ159" s="13">
        <f>AI159*VLOOKUP('Données projet'!$B$10,Paramètres!$A$1:$I$89,3,0)*VLOOKUP('Données projet'!$B$10,Paramètres!$A$1:$I$89,5,0)</f>
        <v>426.81599999999946</v>
      </c>
      <c r="AK159" s="13">
        <f t="shared" si="164"/>
        <v>97.192496986872399</v>
      </c>
      <c r="AL159" s="20">
        <f t="shared" si="165"/>
        <v>912.64813225213504</v>
      </c>
      <c r="AM159" s="57">
        <f t="shared" si="113"/>
        <v>1205.9814655854684</v>
      </c>
      <c r="AN159" s="57">
        <f ca="1">AVERAGE(OFFSET($AM$3,0,0,'Données projet'!$E$10+1,1))-AVERAGE(OFFSET($H$3,0,0,'Données projet'!$E$10+1,1))</f>
        <v>524.3999528951972</v>
      </c>
      <c r="AO159" s="57">
        <f t="shared" si="144"/>
        <v>459.3547783500515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32.993507755340794</v>
      </c>
      <c r="AV159" s="21">
        <f>EXP(-LN(2)/25)*AV158+(1-EXP(-LN(2)/25))/(LN(2)/25)*Calculateur!AQ159*Calculateur!AS159*VLOOKUP('Données projet'!$B$10,Paramètres!$A$1:$I$89,3,0)*0.475*44/12</f>
        <v>1.6243555662496536</v>
      </c>
      <c r="AW159" s="21">
        <f>EXP(-LN(2)/2)*AW158+(1-EXP(-LN(2)/2))/(LN(2)/2)*AQ159*AT159*VLOOKUP('Données projet'!$B$10,Paramètres!$A$1:$I$89,3,0)*0.475*44/12</f>
        <v>1.2926298587234799E-19</v>
      </c>
      <c r="AX159" s="21">
        <f t="shared" si="166"/>
        <v>34.617863321590448</v>
      </c>
      <c r="AY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852.00000000000011</v>
      </c>
      <c r="BE159" s="13">
        <f>BD159*VLOOKUP('Données projet'!$B$11,Paramètres!$A$1:$I$89,3,0)*VLOOKUP('Données projet'!$B$11,Paramètres!$A$1:$I$89,5,0)</f>
        <v>409.81200000000013</v>
      </c>
      <c r="BF159" s="13">
        <f t="shared" si="167"/>
        <v>93.76308331402879</v>
      </c>
      <c r="BG159" s="20">
        <f t="shared" si="168"/>
        <v>877.05993677193362</v>
      </c>
      <c r="BH159" s="57">
        <f t="shared" si="116"/>
        <v>1170.393270105267</v>
      </c>
      <c r="BI159" s="57">
        <f ca="1">AVERAGE(OFFSET($BH$3,0,0,'Données projet'!$E$11+1,1))-AVERAGE(OFFSET($H$3,0,0,'Données projet'!$E$11+1,1))</f>
        <v>495.6473104257044</v>
      </c>
      <c r="BJ159" s="57">
        <f t="shared" si="146"/>
        <v>430.92527296485201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34.371147436774464</v>
      </c>
      <c r="BQ159" s="21">
        <f>EXP(-LN(2)/25)*BQ158+(1-EXP(-LN(2)/25))/(LN(2)/25)*Calculateur!BL159*Calculateur!BN159*VLOOKUP('Données projet'!$B$11,Paramètres!$A$1:$I$89,3,0)*0.475*44/12</f>
        <v>1.5303535080176116</v>
      </c>
      <c r="BR159" s="21">
        <f>EXP(-LN(2)/2)*BR158+(1-EXP(-LN(2)/2))/(LN(2)/2)*BL159*BO159*VLOOKUP('Données projet'!$B$11,Paramètres!$A$1:$I$89,3,0)*0.475*44/12</f>
        <v>7.9343136775812376E-20</v>
      </c>
      <c r="BS159" s="22">
        <f t="shared" si="169"/>
        <v>35.901500944792076</v>
      </c>
      <c r="BT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7" t="e">
        <f t="shared" si="119"/>
        <v>#NUM!</v>
      </c>
      <c r="CD159" s="57">
        <f ca="1">AVERAGE(OFFSET($CC$3,0,0,'Données projet'!$E$12+1,1))-AVERAGE(OFFSET($H$3,0,0,'Données projet'!$E$12+1,1))</f>
        <v>187.80389738728508</v>
      </c>
      <c r="CE159" s="57">
        <f t="shared" si="148"/>
        <v>439.28159165815265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10.18576505812343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1.3380347067917639E-19</v>
      </c>
      <c r="CN159" s="22">
        <f t="shared" si="172"/>
        <v>10.18576505812343</v>
      </c>
      <c r="CO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267</v>
      </c>
      <c r="CU159" s="17">
        <f>CT159*VLOOKUP('Données projet'!$B$13,Paramètres!$A$1:$I$89,3,0)*VLOOKUP('Données projet'!$B$13,Paramètres!$A$1:$I$89,5,0)</f>
        <v>241.58159999999998</v>
      </c>
      <c r="CV159" s="13">
        <f t="shared" si="173"/>
        <v>58.779689232021951</v>
      </c>
      <c r="CW159" s="20">
        <f t="shared" si="174"/>
        <v>523.12924541243819</v>
      </c>
      <c r="CX159" s="57">
        <f t="shared" si="122"/>
        <v>816.46257874577145</v>
      </c>
      <c r="CY159" s="57">
        <f ca="1">AVERAGE(OFFSET($CX$3,0,0,'Données projet'!$E$13+1,1))-AVERAGE(OFFSET($H$3,0,0,'Données projet'!$E$13+1,1))</f>
        <v>364.3481978218424</v>
      </c>
      <c r="CZ159" s="57">
        <f t="shared" si="150"/>
        <v>231.36959598460686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33.558986002657775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33.558986002657775</v>
      </c>
      <c r="DJ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255.00000000000006</v>
      </c>
      <c r="DP159" s="17">
        <f>DO159*VLOOKUP('Données projet'!$B$14,Paramètres!$A$1:$I$89,3,0)*VLOOKUP('Données projet'!$B$14,Paramètres!$A$1:$I$89,5,0)</f>
        <v>186.96600000000004</v>
      </c>
      <c r="DQ159" s="13">
        <f t="shared" si="176"/>
        <v>46.868551400324648</v>
      </c>
      <c r="DR159" s="20">
        <f t="shared" si="177"/>
        <v>407.26184368889881</v>
      </c>
      <c r="DS159" s="57">
        <f t="shared" si="125"/>
        <v>700.59517702223206</v>
      </c>
      <c r="DT159" s="57">
        <f ca="1">AVERAGE(OFFSET($DS$3,0,0,'Données projet'!$E$14+1,1))-AVERAGE(OFFSET($H$3,0,0,'Données projet'!$E$14+1,1))</f>
        <v>239.25212250019609</v>
      </c>
      <c r="DU159" s="57">
        <f t="shared" si="152"/>
        <v>213.58492101729695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403.99999999999994</v>
      </c>
      <c r="EK159" s="17">
        <f>EJ159*VLOOKUP('Données projet'!$B$15,Paramètres!$A$1:$I$89,3,0)*VLOOKUP('Données projet'!$B$15,Paramètres!$A$1:$I$89,5,0)</f>
        <v>346.63200000000001</v>
      </c>
      <c r="EL159" s="13">
        <f t="shared" si="179"/>
        <v>80.868615263336864</v>
      </c>
      <c r="EM159" s="20">
        <f t="shared" si="180"/>
        <v>744.56357158364483</v>
      </c>
      <c r="EN159" s="57">
        <f t="shared" si="128"/>
        <v>1037.8969049169782</v>
      </c>
      <c r="EO159" s="57">
        <f ca="1">AVERAGE(OFFSET($EN$3,0,0,'Données projet'!$E$15+1,1))-AVERAGE(OFFSET($H$3,0,0,'Données projet'!$E$15+1,1))</f>
        <v>447.10969593632467</v>
      </c>
      <c r="EP159" s="57">
        <f t="shared" si="154"/>
        <v>256.77417912163997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48.774631759982569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48.774631759982569</v>
      </c>
      <c r="EZ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7" t="e">
        <f t="shared" si="131"/>
        <v>#N/A</v>
      </c>
      <c r="FJ159" s="57" t="e">
        <f ca="1">AVERAGE(OFFSET($FI$3,0,0,'Données projet'!$E$16+1,1))-AVERAGE(OFFSET($H$3,0,0,'Données projet'!$E$16+1,1))</f>
        <v>#N/A</v>
      </c>
      <c r="FK159" s="57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7" t="e">
        <f t="shared" si="134"/>
        <v>#N/A</v>
      </c>
      <c r="GE159" s="57" t="e">
        <f ca="1">AVERAGE(OFFSET($GD$3,0,0,'Données projet'!$E$17+1,1))-AVERAGE(OFFSET($H$3,0,0,'Données projet'!$E$17+1,1))</f>
        <v>#N/A</v>
      </c>
      <c r="GF159" s="57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7" t="e">
        <f t="shared" si="137"/>
        <v>#N/A</v>
      </c>
      <c r="GZ159" s="57" t="e">
        <f ca="1">AVERAGE(OFFSET($GY$3,0,0,'Données projet'!$E$18+1,1))-AVERAGE(OFFSET($H$3,0,0,'Données projet'!$E$18+1,1))</f>
        <v>#N/A</v>
      </c>
      <c r="HA159" s="57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0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4">
        <f t="shared" si="110"/>
        <v>256.66666666666669</v>
      </c>
      <c r="I160" s="6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636.99999999999977</v>
      </c>
      <c r="O160" s="13">
        <f>N160*VLOOKUP('Données projet'!$B$9,Paramètres!$A$1:$I$89,3,0)*VLOOKUP('Données projet'!$B$9,Paramètres!$A$1:$I$89,5,0)</f>
        <v>356.08299999999991</v>
      </c>
      <c r="P160" s="13">
        <f t="shared" si="141"/>
        <v>82.813805255716545</v>
      </c>
      <c r="Q160" s="20">
        <f t="shared" si="162"/>
        <v>764.41193582037283</v>
      </c>
      <c r="R160" s="57">
        <f t="shared" si="109"/>
        <v>1057.7452691537062</v>
      </c>
      <c r="S160" s="57">
        <f ca="1">AVERAGE(OFFSET($R$3,0,0,'Données projet'!$E$9+1,1))-AVERAGE(OFFSET($H$3,0,0,'Données projet'!$E$9+1,1))</f>
        <v>443.34220761968419</v>
      </c>
      <c r="T160" s="57">
        <f t="shared" si="142"/>
        <v>546.58234447298014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14.313555492702029</v>
      </c>
      <c r="AA160" s="21">
        <f>EXP(-LN(2)/25)*AA159+(1-EXP(-LN(2)/25))/(LN(2)/25)*Calculateur!V160*Calculateur!X160*VLOOKUP('Données projet'!$B$9,Paramètres!$A$1:$I$89,3,0)*0.475*44/12</f>
        <v>0.64856107151254361</v>
      </c>
      <c r="AB160" s="21">
        <f>EXP(-LN(2)/2)*AB159+(1-EXP(-LN(2)/2))/(LN(2)/2)*V160*Y160*VLOOKUP('Données projet'!$B$9,Paramètres!$A$1:$I$89,3,0)*0.475*44/12</f>
        <v>4.6319236604258056E-19</v>
      </c>
      <c r="AC160" s="22">
        <f t="shared" si="163"/>
        <v>14.962116564214574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911.99999999999898</v>
      </c>
      <c r="AJ160" s="13">
        <f>AI160*VLOOKUP('Données projet'!$B$10,Paramètres!$A$1:$I$89,3,0)*VLOOKUP('Données projet'!$B$10,Paramètres!$A$1:$I$89,5,0)</f>
        <v>426.81599999999946</v>
      </c>
      <c r="AK160" s="13">
        <f t="shared" si="164"/>
        <v>97.192496986872399</v>
      </c>
      <c r="AL160" s="20">
        <f t="shared" si="165"/>
        <v>912.64813225213504</v>
      </c>
      <c r="AM160" s="57">
        <f t="shared" si="113"/>
        <v>1205.9814655854684</v>
      </c>
      <c r="AN160" s="57">
        <f ca="1">AVERAGE(OFFSET($AM$3,0,0,'Données projet'!$E$10+1,1))-AVERAGE(OFFSET($H$3,0,0,'Données projet'!$E$10+1,1))</f>
        <v>524.3999528951972</v>
      </c>
      <c r="AO160" s="57">
        <f t="shared" si="144"/>
        <v>459.3547783500515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32.346525192311205</v>
      </c>
      <c r="AV160" s="21">
        <f>EXP(-LN(2)/25)*AV159+(1-EXP(-LN(2)/25))/(LN(2)/25)*Calculateur!AQ160*Calculateur!AS160*VLOOKUP('Données projet'!$B$10,Paramètres!$A$1:$I$89,3,0)*0.475*44/12</f>
        <v>1.5799374778694102</v>
      </c>
      <c r="AW160" s="21">
        <f>EXP(-LN(2)/2)*AW159+(1-EXP(-LN(2)/2))/(LN(2)/2)*AQ160*AT160*VLOOKUP('Données projet'!$B$10,Paramètres!$A$1:$I$89,3,0)*0.475*44/12</f>
        <v>9.1402733866758152E-20</v>
      </c>
      <c r="AX160" s="21">
        <f t="shared" si="166"/>
        <v>33.926462670180612</v>
      </c>
      <c r="AY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852.00000000000011</v>
      </c>
      <c r="BE160" s="13">
        <f>BD160*VLOOKUP('Données projet'!$B$11,Paramètres!$A$1:$I$89,3,0)*VLOOKUP('Données projet'!$B$11,Paramètres!$A$1:$I$89,5,0)</f>
        <v>409.81200000000013</v>
      </c>
      <c r="BF160" s="13">
        <f t="shared" si="167"/>
        <v>93.76308331402879</v>
      </c>
      <c r="BG160" s="20">
        <f t="shared" si="168"/>
        <v>877.05993677193362</v>
      </c>
      <c r="BH160" s="57">
        <f t="shared" si="116"/>
        <v>1170.393270105267</v>
      </c>
      <c r="BI160" s="57">
        <f ca="1">AVERAGE(OFFSET($BH$3,0,0,'Données projet'!$E$11+1,1))-AVERAGE(OFFSET($H$3,0,0,'Données projet'!$E$11+1,1))</f>
        <v>495.6473104257044</v>
      </c>
      <c r="BJ160" s="57">
        <f t="shared" si="146"/>
        <v>430.92527296485201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33.697150199869199</v>
      </c>
      <c r="BQ160" s="21">
        <f>EXP(-LN(2)/25)*BQ159+(1-EXP(-LN(2)/25))/(LN(2)/25)*Calculateur!BL160*Calculateur!BN160*VLOOKUP('Données projet'!$B$11,Paramètres!$A$1:$I$89,3,0)*0.475*44/12</f>
        <v>1.4885059108630767</v>
      </c>
      <c r="BR160" s="21">
        <f>EXP(-LN(2)/2)*BR159+(1-EXP(-LN(2)/2))/(LN(2)/2)*BL160*BO160*VLOOKUP('Données projet'!$B$11,Paramètres!$A$1:$I$89,3,0)*0.475*44/12</f>
        <v>5.6104070054788674E-20</v>
      </c>
      <c r="BS160" s="22">
        <f t="shared" si="169"/>
        <v>35.185656110732275</v>
      </c>
      <c r="BT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7" t="e">
        <f t="shared" si="119"/>
        <v>#NUM!</v>
      </c>
      <c r="CD160" s="57">
        <f ca="1">AVERAGE(OFFSET($CC$3,0,0,'Données projet'!$E$12+1,1))-AVERAGE(OFFSET($H$3,0,0,'Données projet'!$E$12+1,1))</f>
        <v>187.80389738728508</v>
      </c>
      <c r="CE160" s="57">
        <f t="shared" si="148"/>
        <v>439.28159165815265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9.9860284180368613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9.461334146354101E-20</v>
      </c>
      <c r="CN160" s="22">
        <f t="shared" si="172"/>
        <v>9.9860284180368613</v>
      </c>
      <c r="CO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267</v>
      </c>
      <c r="CU160" s="17">
        <f>CT160*VLOOKUP('Données projet'!$B$13,Paramètres!$A$1:$I$89,3,0)*VLOOKUP('Données projet'!$B$13,Paramètres!$A$1:$I$89,5,0)</f>
        <v>241.58159999999998</v>
      </c>
      <c r="CV160" s="13">
        <f t="shared" si="173"/>
        <v>58.779689232021951</v>
      </c>
      <c r="CW160" s="20">
        <f t="shared" si="174"/>
        <v>523.12924541243819</v>
      </c>
      <c r="CX160" s="57">
        <f t="shared" si="122"/>
        <v>816.46257874577145</v>
      </c>
      <c r="CY160" s="57">
        <f ca="1">AVERAGE(OFFSET($CX$3,0,0,'Données projet'!$E$13+1,1))-AVERAGE(OFFSET($H$3,0,0,'Données projet'!$E$13+1,1))</f>
        <v>364.3481978218424</v>
      </c>
      <c r="CZ160" s="57">
        <f t="shared" si="150"/>
        <v>231.36959598460686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32.900914756105976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32.900914756105976</v>
      </c>
      <c r="DJ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255.00000000000006</v>
      </c>
      <c r="DP160" s="17">
        <f>DO160*VLOOKUP('Données projet'!$B$14,Paramètres!$A$1:$I$89,3,0)*VLOOKUP('Données projet'!$B$14,Paramètres!$A$1:$I$89,5,0)</f>
        <v>186.96600000000004</v>
      </c>
      <c r="DQ160" s="13">
        <f t="shared" si="176"/>
        <v>46.868551400324648</v>
      </c>
      <c r="DR160" s="20">
        <f t="shared" si="177"/>
        <v>407.26184368889881</v>
      </c>
      <c r="DS160" s="57">
        <f t="shared" si="125"/>
        <v>700.59517702223206</v>
      </c>
      <c r="DT160" s="57">
        <f ca="1">AVERAGE(OFFSET($DS$3,0,0,'Données projet'!$E$14+1,1))-AVERAGE(OFFSET($H$3,0,0,'Données projet'!$E$14+1,1))</f>
        <v>239.25212250019609</v>
      </c>
      <c r="DU160" s="57">
        <f t="shared" si="152"/>
        <v>213.58492101729695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403.99999999999994</v>
      </c>
      <c r="EK160" s="17">
        <f>EJ160*VLOOKUP('Données projet'!$B$15,Paramètres!$A$1:$I$89,3,0)*VLOOKUP('Données projet'!$B$15,Paramètres!$A$1:$I$89,5,0)</f>
        <v>346.63200000000001</v>
      </c>
      <c r="EL160" s="13">
        <f t="shared" si="179"/>
        <v>80.868615263336864</v>
      </c>
      <c r="EM160" s="20">
        <f t="shared" si="180"/>
        <v>744.56357158364483</v>
      </c>
      <c r="EN160" s="57">
        <f t="shared" si="128"/>
        <v>1037.8969049169782</v>
      </c>
      <c r="EO160" s="57">
        <f ca="1">AVERAGE(OFFSET($EN$3,0,0,'Données projet'!$E$15+1,1))-AVERAGE(OFFSET($H$3,0,0,'Données projet'!$E$15+1,1))</f>
        <v>447.10969593632467</v>
      </c>
      <c r="EP160" s="57">
        <f t="shared" si="154"/>
        <v>256.77417912163997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47.818190980757159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47.818190980757159</v>
      </c>
      <c r="EZ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7" t="e">
        <f t="shared" si="131"/>
        <v>#N/A</v>
      </c>
      <c r="FJ160" s="57" t="e">
        <f ca="1">AVERAGE(OFFSET($FI$3,0,0,'Données projet'!$E$16+1,1))-AVERAGE(OFFSET($H$3,0,0,'Données projet'!$E$16+1,1))</f>
        <v>#N/A</v>
      </c>
      <c r="FK160" s="57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7" t="e">
        <f t="shared" si="134"/>
        <v>#N/A</v>
      </c>
      <c r="GE160" s="57" t="e">
        <f ca="1">AVERAGE(OFFSET($GD$3,0,0,'Données projet'!$E$17+1,1))-AVERAGE(OFFSET($H$3,0,0,'Données projet'!$E$17+1,1))</f>
        <v>#N/A</v>
      </c>
      <c r="GF160" s="57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7" t="e">
        <f t="shared" si="137"/>
        <v>#N/A</v>
      </c>
      <c r="GZ160" s="57" t="e">
        <f ca="1">AVERAGE(OFFSET($GY$3,0,0,'Données projet'!$E$18+1,1))-AVERAGE(OFFSET($H$3,0,0,'Données projet'!$E$18+1,1))</f>
        <v>#N/A</v>
      </c>
      <c r="HA160" s="57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0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4">
        <f t="shared" si="110"/>
        <v>256.66666666666669</v>
      </c>
      <c r="I161" s="6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636.99999999999977</v>
      </c>
      <c r="O161" s="13">
        <f>N161*VLOOKUP('Données projet'!$B$9,Paramètres!$A$1:$I$89,3,0)*VLOOKUP('Données projet'!$B$9,Paramètres!$A$1:$I$89,5,0)</f>
        <v>356.08299999999991</v>
      </c>
      <c r="P161" s="13">
        <f t="shared" si="141"/>
        <v>82.813805255716545</v>
      </c>
      <c r="Q161" s="20">
        <f t="shared" si="162"/>
        <v>764.41193582037283</v>
      </c>
      <c r="R161" s="57">
        <f t="shared" si="109"/>
        <v>1057.7452691537062</v>
      </c>
      <c r="S161" s="57">
        <f ca="1">AVERAGE(OFFSET($R$3,0,0,'Données projet'!$E$9+1,1))-AVERAGE(OFFSET($H$3,0,0,'Données projet'!$E$9+1,1))</f>
        <v>443.34220761968419</v>
      </c>
      <c r="T161" s="57">
        <f t="shared" si="142"/>
        <v>546.58234447298014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14.032875399896938</v>
      </c>
      <c r="AA161" s="21">
        <f>EXP(-LN(2)/25)*AA160+(1-EXP(-LN(2)/25))/(LN(2)/25)*Calculateur!V161*Calculateur!X161*VLOOKUP('Données projet'!$B$9,Paramètres!$A$1:$I$89,3,0)*0.475*44/12</f>
        <v>0.63082613490568862</v>
      </c>
      <c r="AB161" s="21">
        <f>EXP(-LN(2)/2)*AB160+(1-EXP(-LN(2)/2))/(LN(2)/2)*V161*Y161*VLOOKUP('Données projet'!$B$9,Paramètres!$A$1:$I$89,3,0)*0.475*44/12</f>
        <v>3.2752646302255024E-19</v>
      </c>
      <c r="AC161" s="22">
        <f t="shared" si="163"/>
        <v>14.663701534802627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911.99999999999898</v>
      </c>
      <c r="AJ161" s="13">
        <f>AI161*VLOOKUP('Données projet'!$B$10,Paramètres!$A$1:$I$89,3,0)*VLOOKUP('Données projet'!$B$10,Paramètres!$A$1:$I$89,5,0)</f>
        <v>426.81599999999946</v>
      </c>
      <c r="AK161" s="13">
        <f t="shared" si="164"/>
        <v>97.192496986872399</v>
      </c>
      <c r="AL161" s="20">
        <f t="shared" si="165"/>
        <v>912.64813225213504</v>
      </c>
      <c r="AM161" s="57">
        <f t="shared" si="113"/>
        <v>1205.9814655854684</v>
      </c>
      <c r="AN161" s="57">
        <f ca="1">AVERAGE(OFFSET($AM$3,0,0,'Données projet'!$E$10+1,1))-AVERAGE(OFFSET($H$3,0,0,'Données projet'!$E$10+1,1))</f>
        <v>524.3999528951972</v>
      </c>
      <c r="AO161" s="57">
        <f t="shared" si="144"/>
        <v>459.3547783500515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31.712229562722229</v>
      </c>
      <c r="AV161" s="21">
        <f>EXP(-LN(2)/25)*AV160+(1-EXP(-LN(2)/25))/(LN(2)/25)*Calculateur!AQ161*Calculateur!AS161*VLOOKUP('Données projet'!$B$10,Paramètres!$A$1:$I$89,3,0)*0.475*44/12</f>
        <v>1.5367340044517701</v>
      </c>
      <c r="AW161" s="21">
        <f>EXP(-LN(2)/2)*AW160+(1-EXP(-LN(2)/2))/(LN(2)/2)*AQ161*AT161*VLOOKUP('Données projet'!$B$10,Paramètres!$A$1:$I$89,3,0)*0.475*44/12</f>
        <v>6.4631492936173993E-20</v>
      </c>
      <c r="AX161" s="21">
        <f t="shared" si="166"/>
        <v>33.248963567174002</v>
      </c>
      <c r="AY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852.00000000000011</v>
      </c>
      <c r="BE161" s="13">
        <f>BD161*VLOOKUP('Données projet'!$B$11,Paramètres!$A$1:$I$89,3,0)*VLOOKUP('Données projet'!$B$11,Paramètres!$A$1:$I$89,5,0)</f>
        <v>409.81200000000013</v>
      </c>
      <c r="BF161" s="13">
        <f t="shared" si="167"/>
        <v>93.76308331402879</v>
      </c>
      <c r="BG161" s="20">
        <f t="shared" si="168"/>
        <v>877.05993677193362</v>
      </c>
      <c r="BH161" s="57">
        <f t="shared" si="116"/>
        <v>1170.393270105267</v>
      </c>
      <c r="BI161" s="57">
        <f ca="1">AVERAGE(OFFSET($BH$3,0,0,'Données projet'!$E$11+1,1))-AVERAGE(OFFSET($H$3,0,0,'Données projet'!$E$11+1,1))</f>
        <v>495.6473104257044</v>
      </c>
      <c r="BJ161" s="57">
        <f t="shared" si="146"/>
        <v>430.92527296485201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33.036369637681922</v>
      </c>
      <c r="BQ161" s="21">
        <f>EXP(-LN(2)/25)*BQ160+(1-EXP(-LN(2)/25))/(LN(2)/25)*Calculateur!BL161*Calculateur!BN161*VLOOKUP('Données projet'!$B$11,Paramètres!$A$1:$I$89,3,0)*0.475*44/12</f>
        <v>1.447802638453402</v>
      </c>
      <c r="BR161" s="21">
        <f>EXP(-LN(2)/2)*BR160+(1-EXP(-LN(2)/2))/(LN(2)/2)*BL161*BO161*VLOOKUP('Données projet'!$B$11,Paramètres!$A$1:$I$89,3,0)*0.475*44/12</f>
        <v>3.9671568387906188E-20</v>
      </c>
      <c r="BS161" s="22">
        <f t="shared" si="169"/>
        <v>34.484172276135325</v>
      </c>
      <c r="BT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7" t="e">
        <f t="shared" si="119"/>
        <v>#NUM!</v>
      </c>
      <c r="CD161" s="57">
        <f ca="1">AVERAGE(OFFSET($CC$3,0,0,'Données projet'!$E$12+1,1))-AVERAGE(OFFSET($H$3,0,0,'Données projet'!$E$12+1,1))</f>
        <v>187.80389738728508</v>
      </c>
      <c r="CE161" s="57">
        <f t="shared" si="148"/>
        <v>439.28159165815265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9.7902084916350702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6.6901735339588196E-20</v>
      </c>
      <c r="CN161" s="22">
        <f t="shared" si="172"/>
        <v>9.7902084916350702</v>
      </c>
      <c r="CO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267</v>
      </c>
      <c r="CU161" s="17">
        <f>CT161*VLOOKUP('Données projet'!$B$13,Paramètres!$A$1:$I$89,3,0)*VLOOKUP('Données projet'!$B$13,Paramètres!$A$1:$I$89,5,0)</f>
        <v>241.58159999999998</v>
      </c>
      <c r="CV161" s="13">
        <f t="shared" si="173"/>
        <v>58.779689232021951</v>
      </c>
      <c r="CW161" s="20">
        <f t="shared" si="174"/>
        <v>523.12924541243819</v>
      </c>
      <c r="CX161" s="57">
        <f t="shared" si="122"/>
        <v>816.46257874577145</v>
      </c>
      <c r="CY161" s="57">
        <f ca="1">AVERAGE(OFFSET($CX$3,0,0,'Données projet'!$E$13+1,1))-AVERAGE(OFFSET($H$3,0,0,'Données projet'!$E$13+1,1))</f>
        <v>364.3481978218424</v>
      </c>
      <c r="CZ161" s="57">
        <f t="shared" si="150"/>
        <v>231.36959598460686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32.25574788531523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32.25574788531523</v>
      </c>
      <c r="DJ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255.00000000000006</v>
      </c>
      <c r="DP161" s="17">
        <f>DO161*VLOOKUP('Données projet'!$B$14,Paramètres!$A$1:$I$89,3,0)*VLOOKUP('Données projet'!$B$14,Paramètres!$A$1:$I$89,5,0)</f>
        <v>186.96600000000004</v>
      </c>
      <c r="DQ161" s="13">
        <f t="shared" si="176"/>
        <v>46.868551400324648</v>
      </c>
      <c r="DR161" s="20">
        <f t="shared" si="177"/>
        <v>407.26184368889881</v>
      </c>
      <c r="DS161" s="57">
        <f t="shared" si="125"/>
        <v>700.59517702223206</v>
      </c>
      <c r="DT161" s="57">
        <f ca="1">AVERAGE(OFFSET($DS$3,0,0,'Données projet'!$E$14+1,1))-AVERAGE(OFFSET($H$3,0,0,'Données projet'!$E$14+1,1))</f>
        <v>239.25212250019609</v>
      </c>
      <c r="DU161" s="57">
        <f t="shared" si="152"/>
        <v>213.58492101729695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403.99999999999994</v>
      </c>
      <c r="EK161" s="17">
        <f>EJ161*VLOOKUP('Données projet'!$B$15,Paramètres!$A$1:$I$89,3,0)*VLOOKUP('Données projet'!$B$15,Paramètres!$A$1:$I$89,5,0)</f>
        <v>346.63200000000001</v>
      </c>
      <c r="EL161" s="13">
        <f t="shared" si="179"/>
        <v>80.868615263336864</v>
      </c>
      <c r="EM161" s="20">
        <f t="shared" si="180"/>
        <v>744.56357158364483</v>
      </c>
      <c r="EN161" s="57">
        <f t="shared" si="128"/>
        <v>1037.8969049169782</v>
      </c>
      <c r="EO161" s="57">
        <f ca="1">AVERAGE(OFFSET($EN$3,0,0,'Données projet'!$E$15+1,1))-AVERAGE(OFFSET($H$3,0,0,'Données projet'!$E$15+1,1))</f>
        <v>447.10969593632467</v>
      </c>
      <c r="EP161" s="57">
        <f t="shared" si="154"/>
        <v>256.77417912163997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46.880505421841086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46.880505421841086</v>
      </c>
      <c r="EZ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7" t="e">
        <f t="shared" si="131"/>
        <v>#N/A</v>
      </c>
      <c r="FJ161" s="57" t="e">
        <f ca="1">AVERAGE(OFFSET($FI$3,0,0,'Données projet'!$E$16+1,1))-AVERAGE(OFFSET($H$3,0,0,'Données projet'!$E$16+1,1))</f>
        <v>#N/A</v>
      </c>
      <c r="FK161" s="57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7" t="e">
        <f t="shared" si="134"/>
        <v>#N/A</v>
      </c>
      <c r="GE161" s="57" t="e">
        <f ca="1">AVERAGE(OFFSET($GD$3,0,0,'Données projet'!$E$17+1,1))-AVERAGE(OFFSET($H$3,0,0,'Données projet'!$E$17+1,1))</f>
        <v>#N/A</v>
      </c>
      <c r="GF161" s="57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7" t="e">
        <f t="shared" si="137"/>
        <v>#N/A</v>
      </c>
      <c r="GZ161" s="57" t="e">
        <f ca="1">AVERAGE(OFFSET($GY$3,0,0,'Données projet'!$E$18+1,1))-AVERAGE(OFFSET($H$3,0,0,'Données projet'!$E$18+1,1))</f>
        <v>#N/A</v>
      </c>
      <c r="HA161" s="57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0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4">
        <f t="shared" si="110"/>
        <v>256.66666666666669</v>
      </c>
      <c r="I162" s="6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636.99999999999977</v>
      </c>
      <c r="O162" s="13">
        <f>N162*VLOOKUP('Données projet'!$B$9,Paramètres!$A$1:$I$89,3,0)*VLOOKUP('Données projet'!$B$9,Paramètres!$A$1:$I$89,5,0)</f>
        <v>356.08299999999991</v>
      </c>
      <c r="P162" s="13">
        <f t="shared" si="141"/>
        <v>82.813805255716545</v>
      </c>
      <c r="Q162" s="20">
        <f t="shared" si="162"/>
        <v>764.41193582037283</v>
      </c>
      <c r="R162" s="57">
        <f t="shared" si="109"/>
        <v>1057.7452691537062</v>
      </c>
      <c r="S162" s="57">
        <f ca="1">AVERAGE(OFFSET($R$3,0,0,'Données projet'!$E$9+1,1))-AVERAGE(OFFSET($H$3,0,0,'Données projet'!$E$9+1,1))</f>
        <v>443.34220761968419</v>
      </c>
      <c r="T162" s="57">
        <f t="shared" si="142"/>
        <v>546.58234447298014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13.757699272513801</v>
      </c>
      <c r="AA162" s="21">
        <f>EXP(-LN(2)/25)*AA161+(1-EXP(-LN(2)/25))/(LN(2)/25)*Calculateur!V162*Calculateur!X162*VLOOKUP('Données projet'!$B$9,Paramètres!$A$1:$I$89,3,0)*0.475*44/12</f>
        <v>0.61357616107298785</v>
      </c>
      <c r="AB162" s="21">
        <f>EXP(-LN(2)/2)*AB161+(1-EXP(-LN(2)/2))/(LN(2)/2)*V162*Y162*VLOOKUP('Données projet'!$B$9,Paramètres!$A$1:$I$89,3,0)*0.475*44/12</f>
        <v>2.3159618302129028E-19</v>
      </c>
      <c r="AC162" s="22">
        <f t="shared" si="163"/>
        <v>14.371275433586788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911.99999999999898</v>
      </c>
      <c r="AJ162" s="13">
        <f>AI162*VLOOKUP('Données projet'!$B$10,Paramètres!$A$1:$I$89,3,0)*VLOOKUP('Données projet'!$B$10,Paramètres!$A$1:$I$89,5,0)</f>
        <v>426.81599999999946</v>
      </c>
      <c r="AK162" s="13">
        <f t="shared" si="164"/>
        <v>97.192496986872399</v>
      </c>
      <c r="AL162" s="20">
        <f t="shared" si="165"/>
        <v>912.64813225213504</v>
      </c>
      <c r="AM162" s="57">
        <f t="shared" si="113"/>
        <v>1205.9814655854684</v>
      </c>
      <c r="AN162" s="57">
        <f ca="1">AVERAGE(OFFSET($AM$3,0,0,'Données projet'!$E$10+1,1))-AVERAGE(OFFSET($H$3,0,0,'Données projet'!$E$10+1,1))</f>
        <v>524.3999528951972</v>
      </c>
      <c r="AO162" s="57">
        <f t="shared" si="144"/>
        <v>459.3547783500515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31.090372083547361</v>
      </c>
      <c r="AV162" s="21">
        <f>EXP(-LN(2)/25)*AV161+(1-EXP(-LN(2)/25))/(LN(2)/25)*Calculateur!AQ162*Calculateur!AS162*VLOOKUP('Données projet'!$B$10,Paramètres!$A$1:$I$89,3,0)*0.475*44/12</f>
        <v>1.4947119322867075</v>
      </c>
      <c r="AW162" s="21">
        <f>EXP(-LN(2)/2)*AW161+(1-EXP(-LN(2)/2))/(LN(2)/2)*AQ162*AT162*VLOOKUP('Données projet'!$B$10,Paramètres!$A$1:$I$89,3,0)*0.475*44/12</f>
        <v>4.5701366933379076E-20</v>
      </c>
      <c r="AX162" s="21">
        <f t="shared" si="166"/>
        <v>32.58508401583407</v>
      </c>
      <c r="AY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852.00000000000011</v>
      </c>
      <c r="BE162" s="13">
        <f>BD162*VLOOKUP('Données projet'!$B$11,Paramètres!$A$1:$I$89,3,0)*VLOOKUP('Données projet'!$B$11,Paramètres!$A$1:$I$89,5,0)</f>
        <v>409.81200000000013</v>
      </c>
      <c r="BF162" s="13">
        <f t="shared" si="167"/>
        <v>93.76308331402879</v>
      </c>
      <c r="BG162" s="20">
        <f t="shared" si="168"/>
        <v>877.05993677193362</v>
      </c>
      <c r="BH162" s="57">
        <f t="shared" si="116"/>
        <v>1170.393270105267</v>
      </c>
      <c r="BI162" s="57">
        <f ca="1">AVERAGE(OFFSET($BH$3,0,0,'Données projet'!$E$11+1,1))-AVERAGE(OFFSET($H$3,0,0,'Données projet'!$E$11+1,1))</f>
        <v>495.6473104257044</v>
      </c>
      <c r="BJ162" s="57">
        <f t="shared" si="146"/>
        <v>430.92527296485201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32.388546579282789</v>
      </c>
      <c r="BQ162" s="21">
        <f>EXP(-LN(2)/25)*BQ161+(1-EXP(-LN(2)/25))/(LN(2)/25)*Calculateur!BL162*Calculateur!BN162*VLOOKUP('Données projet'!$B$11,Paramètres!$A$1:$I$89,3,0)*0.475*44/12</f>
        <v>1.408212399168262</v>
      </c>
      <c r="BR162" s="21">
        <f>EXP(-LN(2)/2)*BR161+(1-EXP(-LN(2)/2))/(LN(2)/2)*BL162*BO162*VLOOKUP('Données projet'!$B$11,Paramètres!$A$1:$I$89,3,0)*0.475*44/12</f>
        <v>2.8052035027394337E-20</v>
      </c>
      <c r="BS162" s="22">
        <f t="shared" si="169"/>
        <v>33.796758978451052</v>
      </c>
      <c r="BT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7" t="e">
        <f t="shared" si="119"/>
        <v>#NUM!</v>
      </c>
      <c r="CD162" s="57">
        <f ca="1">AVERAGE(OFFSET($CC$3,0,0,'Données projet'!$E$12+1,1))-AVERAGE(OFFSET($H$3,0,0,'Données projet'!$E$12+1,1))</f>
        <v>187.80389738728508</v>
      </c>
      <c r="CE162" s="57">
        <f t="shared" si="148"/>
        <v>439.28159165815265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9.5982284745516555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4.7306670731770505E-20</v>
      </c>
      <c r="CN162" s="22">
        <f t="shared" si="172"/>
        <v>9.5982284745516555</v>
      </c>
      <c r="CO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267</v>
      </c>
      <c r="CU162" s="17">
        <f>CT162*VLOOKUP('Données projet'!$B$13,Paramètres!$A$1:$I$89,3,0)*VLOOKUP('Données projet'!$B$13,Paramètres!$A$1:$I$89,5,0)</f>
        <v>241.58159999999998</v>
      </c>
      <c r="CV162" s="13">
        <f t="shared" si="173"/>
        <v>58.779689232021951</v>
      </c>
      <c r="CW162" s="20">
        <f t="shared" si="174"/>
        <v>523.12924541243819</v>
      </c>
      <c r="CX162" s="57">
        <f t="shared" si="122"/>
        <v>816.46257874577145</v>
      </c>
      <c r="CY162" s="57">
        <f ca="1">AVERAGE(OFFSET($CX$3,0,0,'Données projet'!$E$13+1,1))-AVERAGE(OFFSET($H$3,0,0,'Données projet'!$E$13+1,1))</f>
        <v>364.3481978218424</v>
      </c>
      <c r="CZ162" s="57">
        <f t="shared" si="150"/>
        <v>231.36959598460686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31.623232343347755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31.623232343347755</v>
      </c>
      <c r="DJ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255.00000000000006</v>
      </c>
      <c r="DP162" s="17">
        <f>DO162*VLOOKUP('Données projet'!$B$14,Paramètres!$A$1:$I$89,3,0)*VLOOKUP('Données projet'!$B$14,Paramètres!$A$1:$I$89,5,0)</f>
        <v>186.96600000000004</v>
      </c>
      <c r="DQ162" s="13">
        <f t="shared" si="176"/>
        <v>46.868551400324648</v>
      </c>
      <c r="DR162" s="20">
        <f t="shared" si="177"/>
        <v>407.26184368889881</v>
      </c>
      <c r="DS162" s="57">
        <f t="shared" si="125"/>
        <v>700.59517702223206</v>
      </c>
      <c r="DT162" s="57">
        <f ca="1">AVERAGE(OFFSET($DS$3,0,0,'Données projet'!$E$14+1,1))-AVERAGE(OFFSET($H$3,0,0,'Données projet'!$E$14+1,1))</f>
        <v>239.25212250019609</v>
      </c>
      <c r="DU162" s="57">
        <f t="shared" si="152"/>
        <v>213.58492101729695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403.99999999999994</v>
      </c>
      <c r="EK162" s="17">
        <f>EJ162*VLOOKUP('Données projet'!$B$15,Paramètres!$A$1:$I$89,3,0)*VLOOKUP('Données projet'!$B$15,Paramètres!$A$1:$I$89,5,0)</f>
        <v>346.63200000000001</v>
      </c>
      <c r="EL162" s="13">
        <f t="shared" si="179"/>
        <v>80.868615263336864</v>
      </c>
      <c r="EM162" s="20">
        <f t="shared" si="180"/>
        <v>744.56357158364483</v>
      </c>
      <c r="EN162" s="57">
        <f t="shared" si="128"/>
        <v>1037.8969049169782</v>
      </c>
      <c r="EO162" s="57">
        <f ca="1">AVERAGE(OFFSET($EN$3,0,0,'Données projet'!$E$15+1,1))-AVERAGE(OFFSET($H$3,0,0,'Données projet'!$E$15+1,1))</f>
        <v>447.10969593632467</v>
      </c>
      <c r="EP162" s="57">
        <f t="shared" si="154"/>
        <v>256.77417912163997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45.961207304803636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45.961207304803636</v>
      </c>
      <c r="EZ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7" t="e">
        <f t="shared" si="131"/>
        <v>#N/A</v>
      </c>
      <c r="FJ162" s="57" t="e">
        <f ca="1">AVERAGE(OFFSET($FI$3,0,0,'Données projet'!$E$16+1,1))-AVERAGE(OFFSET($H$3,0,0,'Données projet'!$E$16+1,1))</f>
        <v>#N/A</v>
      </c>
      <c r="FK162" s="57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7" t="e">
        <f t="shared" si="134"/>
        <v>#N/A</v>
      </c>
      <c r="GE162" s="57" t="e">
        <f ca="1">AVERAGE(OFFSET($GD$3,0,0,'Données projet'!$E$17+1,1))-AVERAGE(OFFSET($H$3,0,0,'Données projet'!$E$17+1,1))</f>
        <v>#N/A</v>
      </c>
      <c r="GF162" s="57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7" t="e">
        <f t="shared" si="137"/>
        <v>#N/A</v>
      </c>
      <c r="GZ162" s="57" t="e">
        <f ca="1">AVERAGE(OFFSET($GY$3,0,0,'Données projet'!$E$18+1,1))-AVERAGE(OFFSET($H$3,0,0,'Données projet'!$E$18+1,1))</f>
        <v>#N/A</v>
      </c>
      <c r="HA162" s="57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0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4">
        <f t="shared" si="110"/>
        <v>256.66666666666669</v>
      </c>
      <c r="I163" s="6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636.99999999999977</v>
      </c>
      <c r="O163" s="13">
        <f>N163*VLOOKUP('Données projet'!$B$9,Paramètres!$A$1:$I$89,3,0)*VLOOKUP('Données projet'!$B$9,Paramètres!$A$1:$I$89,5,0)</f>
        <v>356.08299999999991</v>
      </c>
      <c r="P163" s="13">
        <f t="shared" si="141"/>
        <v>82.813805255716545</v>
      </c>
      <c r="Q163" s="20">
        <f t="shared" si="162"/>
        <v>764.41193582037283</v>
      </c>
      <c r="R163" s="57">
        <f t="shared" si="109"/>
        <v>1057.7452691537062</v>
      </c>
      <c r="S163" s="57">
        <f ca="1">AVERAGE(OFFSET($R$3,0,0,'Données projet'!$E$9+1,1))-AVERAGE(OFFSET($H$3,0,0,'Données projet'!$E$9+1,1))</f>
        <v>443.34220761968419</v>
      </c>
      <c r="T163" s="57">
        <f t="shared" si="142"/>
        <v>546.58234447298014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13.487919181147783</v>
      </c>
      <c r="AA163" s="21">
        <f>EXP(-LN(2)/25)*AA162+(1-EXP(-LN(2)/25))/(LN(2)/25)*Calculateur!V163*Calculateur!X163*VLOOKUP('Données projet'!$B$9,Paramètres!$A$1:$I$89,3,0)*0.475*44/12</f>
        <v>0.596797888681879</v>
      </c>
      <c r="AB163" s="21">
        <f>EXP(-LN(2)/2)*AB162+(1-EXP(-LN(2)/2))/(LN(2)/2)*V163*Y163*VLOOKUP('Données projet'!$B$9,Paramètres!$A$1:$I$89,3,0)*0.475*44/12</f>
        <v>1.6376323151127512E-19</v>
      </c>
      <c r="AC163" s="22">
        <f t="shared" si="163"/>
        <v>14.084717069829662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911.99999999999898</v>
      </c>
      <c r="AJ163" s="13">
        <f>AI163*VLOOKUP('Données projet'!$B$10,Paramètres!$A$1:$I$89,3,0)*VLOOKUP('Données projet'!$B$10,Paramètres!$A$1:$I$89,5,0)</f>
        <v>426.81599999999946</v>
      </c>
      <c r="AK163" s="13">
        <f t="shared" si="164"/>
        <v>97.192496986872399</v>
      </c>
      <c r="AL163" s="20">
        <f t="shared" si="165"/>
        <v>912.64813225213504</v>
      </c>
      <c r="AM163" s="57">
        <f t="shared" si="113"/>
        <v>1205.9814655854684</v>
      </c>
      <c r="AN163" s="57">
        <f ca="1">AVERAGE(OFFSET($AM$3,0,0,'Données projet'!$E$10+1,1))-AVERAGE(OFFSET($H$3,0,0,'Données projet'!$E$10+1,1))</f>
        <v>524.3999528951972</v>
      </c>
      <c r="AO163" s="57">
        <f t="shared" si="144"/>
        <v>459.3547783500515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30.480708850243502</v>
      </c>
      <c r="AV163" s="21">
        <f>EXP(-LN(2)/25)*AV162+(1-EXP(-LN(2)/25))/(LN(2)/25)*Calculateur!AQ163*Calculateur!AS163*VLOOKUP('Données projet'!$B$10,Paramètres!$A$1:$I$89,3,0)*0.475*44/12</f>
        <v>1.4538389558948432</v>
      </c>
      <c r="AW163" s="21">
        <f>EXP(-LN(2)/2)*AW162+(1-EXP(-LN(2)/2))/(LN(2)/2)*AQ163*AT163*VLOOKUP('Données projet'!$B$10,Paramètres!$A$1:$I$89,3,0)*0.475*44/12</f>
        <v>3.2315746468086996E-20</v>
      </c>
      <c r="AX163" s="21">
        <f t="shared" si="166"/>
        <v>31.934547806138344</v>
      </c>
      <c r="AY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852.00000000000011</v>
      </c>
      <c r="BE163" s="13">
        <f>BD163*VLOOKUP('Données projet'!$B$11,Paramètres!$A$1:$I$89,3,0)*VLOOKUP('Données projet'!$B$11,Paramètres!$A$1:$I$89,5,0)</f>
        <v>409.81200000000013</v>
      </c>
      <c r="BF163" s="13">
        <f t="shared" si="167"/>
        <v>93.76308331402879</v>
      </c>
      <c r="BG163" s="20">
        <f t="shared" si="168"/>
        <v>877.05993677193362</v>
      </c>
      <c r="BH163" s="57">
        <f t="shared" si="116"/>
        <v>1170.393270105267</v>
      </c>
      <c r="BI163" s="57">
        <f ca="1">AVERAGE(OFFSET($BH$3,0,0,'Données projet'!$E$11+1,1))-AVERAGE(OFFSET($H$3,0,0,'Données projet'!$E$11+1,1))</f>
        <v>495.6473104257044</v>
      </c>
      <c r="BJ163" s="57">
        <f t="shared" si="146"/>
        <v>430.92527296485201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31.753426935925816</v>
      </c>
      <c r="BQ163" s="21">
        <f>EXP(-LN(2)/25)*BQ162+(1-EXP(-LN(2)/25))/(LN(2)/25)*Calculateur!BL163*Calculateur!BN163*VLOOKUP('Données projet'!$B$11,Paramètres!$A$1:$I$89,3,0)*0.475*44/12</f>
        <v>1.3697047570583343</v>
      </c>
      <c r="BR163" s="21">
        <f>EXP(-LN(2)/2)*BR162+(1-EXP(-LN(2)/2))/(LN(2)/2)*BL163*BO163*VLOOKUP('Données projet'!$B$11,Paramètres!$A$1:$I$89,3,0)*0.475*44/12</f>
        <v>1.9835784193953094E-20</v>
      </c>
      <c r="BS163" s="22">
        <f t="shared" si="169"/>
        <v>33.123131692984153</v>
      </c>
      <c r="BT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7" t="e">
        <f t="shared" si="119"/>
        <v>#NUM!</v>
      </c>
      <c r="CD163" s="57">
        <f ca="1">AVERAGE(OFFSET($CC$3,0,0,'Données projet'!$E$12+1,1))-AVERAGE(OFFSET($H$3,0,0,'Données projet'!$E$12+1,1))</f>
        <v>187.80389738728508</v>
      </c>
      <c r="CE163" s="57">
        <f t="shared" si="148"/>
        <v>439.28159165815265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9.4100130685069985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3.3450867669794098E-20</v>
      </c>
      <c r="CN163" s="22">
        <f t="shared" si="172"/>
        <v>9.4100130685069985</v>
      </c>
      <c r="CO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267</v>
      </c>
      <c r="CU163" s="17">
        <f>CT163*VLOOKUP('Données projet'!$B$13,Paramètres!$A$1:$I$89,3,0)*VLOOKUP('Données projet'!$B$13,Paramètres!$A$1:$I$89,5,0)</f>
        <v>241.58159999999998</v>
      </c>
      <c r="CV163" s="13">
        <f t="shared" si="173"/>
        <v>58.779689232021951</v>
      </c>
      <c r="CW163" s="20">
        <f t="shared" si="174"/>
        <v>523.12924541243819</v>
      </c>
      <c r="CX163" s="57">
        <f t="shared" si="122"/>
        <v>816.46257874577145</v>
      </c>
      <c r="CY163" s="57">
        <f ca="1">AVERAGE(OFFSET($CX$3,0,0,'Données projet'!$E$13+1,1))-AVERAGE(OFFSET($H$3,0,0,'Données projet'!$E$13+1,1))</f>
        <v>364.3481978218424</v>
      </c>
      <c r="CZ163" s="57">
        <f t="shared" si="150"/>
        <v>231.36959598460686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31.003120045361879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31.003120045361879</v>
      </c>
      <c r="DJ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255.00000000000006</v>
      </c>
      <c r="DP163" s="17">
        <f>DO163*VLOOKUP('Données projet'!$B$14,Paramètres!$A$1:$I$89,3,0)*VLOOKUP('Données projet'!$B$14,Paramètres!$A$1:$I$89,5,0)</f>
        <v>186.96600000000004</v>
      </c>
      <c r="DQ163" s="13">
        <f t="shared" si="176"/>
        <v>46.868551400324648</v>
      </c>
      <c r="DR163" s="20">
        <f t="shared" si="177"/>
        <v>407.26184368889881</v>
      </c>
      <c r="DS163" s="57">
        <f t="shared" si="125"/>
        <v>700.59517702223206</v>
      </c>
      <c r="DT163" s="57">
        <f ca="1">AVERAGE(OFFSET($DS$3,0,0,'Données projet'!$E$14+1,1))-AVERAGE(OFFSET($H$3,0,0,'Données projet'!$E$14+1,1))</f>
        <v>239.25212250019609</v>
      </c>
      <c r="DU163" s="57">
        <f t="shared" si="152"/>
        <v>213.58492101729695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403.99999999999994</v>
      </c>
      <c r="EK163" s="17">
        <f>EJ163*VLOOKUP('Données projet'!$B$15,Paramètres!$A$1:$I$89,3,0)*VLOOKUP('Données projet'!$B$15,Paramètres!$A$1:$I$89,5,0)</f>
        <v>346.63200000000001</v>
      </c>
      <c r="EL163" s="13">
        <f t="shared" si="179"/>
        <v>80.868615263336864</v>
      </c>
      <c r="EM163" s="20">
        <f t="shared" si="180"/>
        <v>744.56357158364483</v>
      </c>
      <c r="EN163" s="57">
        <f t="shared" si="128"/>
        <v>1037.8969049169782</v>
      </c>
      <c r="EO163" s="57">
        <f ca="1">AVERAGE(OFFSET($EN$3,0,0,'Données projet'!$E$15+1,1))-AVERAGE(OFFSET($H$3,0,0,'Données projet'!$E$15+1,1))</f>
        <v>447.10969593632467</v>
      </c>
      <c r="EP163" s="57">
        <f t="shared" si="154"/>
        <v>256.77417912163997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45.059936063124809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45.059936063124809</v>
      </c>
      <c r="EZ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7" t="e">
        <f t="shared" si="131"/>
        <v>#N/A</v>
      </c>
      <c r="FJ163" s="57" t="e">
        <f ca="1">AVERAGE(OFFSET($FI$3,0,0,'Données projet'!$E$16+1,1))-AVERAGE(OFFSET($H$3,0,0,'Données projet'!$E$16+1,1))</f>
        <v>#N/A</v>
      </c>
      <c r="FK163" s="57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7" t="e">
        <f t="shared" si="134"/>
        <v>#N/A</v>
      </c>
      <c r="GE163" s="57" t="e">
        <f ca="1">AVERAGE(OFFSET($GD$3,0,0,'Données projet'!$E$17+1,1))-AVERAGE(OFFSET($H$3,0,0,'Données projet'!$E$17+1,1))</f>
        <v>#N/A</v>
      </c>
      <c r="GF163" s="57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7" t="e">
        <f t="shared" si="137"/>
        <v>#N/A</v>
      </c>
      <c r="GZ163" s="57" t="e">
        <f ca="1">AVERAGE(OFFSET($GY$3,0,0,'Données projet'!$E$18+1,1))-AVERAGE(OFFSET($H$3,0,0,'Données projet'!$E$18+1,1))</f>
        <v>#N/A</v>
      </c>
      <c r="HA163" s="57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0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4">
        <f t="shared" si="110"/>
        <v>256.66666666666669</v>
      </c>
      <c r="I164" s="6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636.99999999999977</v>
      </c>
      <c r="O164" s="13">
        <f>N164*VLOOKUP('Données projet'!$B$9,Paramètres!$A$1:$I$89,3,0)*VLOOKUP('Données projet'!$B$9,Paramètres!$A$1:$I$89,5,0)</f>
        <v>356.08299999999991</v>
      </c>
      <c r="P164" s="13">
        <f t="shared" si="141"/>
        <v>82.813805255716545</v>
      </c>
      <c r="Q164" s="20">
        <f t="shared" si="162"/>
        <v>764.41193582037283</v>
      </c>
      <c r="R164" s="57">
        <f t="shared" si="109"/>
        <v>1057.7452691537062</v>
      </c>
      <c r="S164" s="57">
        <f ca="1">AVERAGE(OFFSET($R$3,0,0,'Données projet'!$E$9+1,1))-AVERAGE(OFFSET($H$3,0,0,'Données projet'!$E$9+1,1))</f>
        <v>443.34220761968419</v>
      </c>
      <c r="T164" s="57">
        <f t="shared" si="142"/>
        <v>546.58234447298014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13.223429312823844</v>
      </c>
      <c r="AA164" s="21">
        <f>EXP(-LN(2)/25)*AA163+(1-EXP(-LN(2)/25))/(LN(2)/25)*Calculateur!V164*Calculateur!X164*VLOOKUP('Données projet'!$B$9,Paramètres!$A$1:$I$89,3,0)*0.475*44/12</f>
        <v>0.58047841903163599</v>
      </c>
      <c r="AB164" s="21">
        <f>EXP(-LN(2)/2)*AB163+(1-EXP(-LN(2)/2))/(LN(2)/2)*V164*Y164*VLOOKUP('Données projet'!$B$9,Paramètres!$A$1:$I$89,3,0)*0.475*44/12</f>
        <v>1.1579809151064514E-19</v>
      </c>
      <c r="AC164" s="22">
        <f t="shared" si="163"/>
        <v>13.80390773185548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911.99999999999898</v>
      </c>
      <c r="AJ164" s="13">
        <f>AI164*VLOOKUP('Données projet'!$B$10,Paramètres!$A$1:$I$89,3,0)*VLOOKUP('Données projet'!$B$10,Paramètres!$A$1:$I$89,5,0)</f>
        <v>426.81599999999946</v>
      </c>
      <c r="AK164" s="13">
        <f t="shared" si="164"/>
        <v>97.192496986872399</v>
      </c>
      <c r="AL164" s="20">
        <f t="shared" si="165"/>
        <v>912.64813225213504</v>
      </c>
      <c r="AM164" s="57">
        <f t="shared" si="113"/>
        <v>1205.9814655854684</v>
      </c>
      <c r="AN164" s="57">
        <f ca="1">AVERAGE(OFFSET($AM$3,0,0,'Données projet'!$E$10+1,1))-AVERAGE(OFFSET($H$3,0,0,'Données projet'!$E$10+1,1))</f>
        <v>524.3999528951972</v>
      </c>
      <c r="AO164" s="57">
        <f t="shared" si="144"/>
        <v>459.3547783500515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29.883000741086878</v>
      </c>
      <c r="AV164" s="21">
        <f>EXP(-LN(2)/25)*AV163+(1-EXP(-LN(2)/25))/(LN(2)/25)*Calculateur!AQ164*Calculateur!AS164*VLOOKUP('Données projet'!$B$10,Paramètres!$A$1:$I$89,3,0)*0.475*44/12</f>
        <v>1.4140836531918308</v>
      </c>
      <c r="AW164" s="21">
        <f>EXP(-LN(2)/2)*AW163+(1-EXP(-LN(2)/2))/(LN(2)/2)*AQ164*AT164*VLOOKUP('Données projet'!$B$10,Paramètres!$A$1:$I$89,3,0)*0.475*44/12</f>
        <v>2.2850683466689538E-20</v>
      </c>
      <c r="AX164" s="21">
        <f t="shared" si="166"/>
        <v>31.297084394278709</v>
      </c>
      <c r="AY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852.00000000000011</v>
      </c>
      <c r="BE164" s="13">
        <f>BD164*VLOOKUP('Données projet'!$B$11,Paramètres!$A$1:$I$89,3,0)*VLOOKUP('Données projet'!$B$11,Paramètres!$A$1:$I$89,5,0)</f>
        <v>409.81200000000013</v>
      </c>
      <c r="BF164" s="13">
        <f t="shared" si="167"/>
        <v>93.76308331402879</v>
      </c>
      <c r="BG164" s="20">
        <f t="shared" si="168"/>
        <v>877.05993677193362</v>
      </c>
      <c r="BH164" s="57">
        <f t="shared" si="116"/>
        <v>1170.393270105267</v>
      </c>
      <c r="BI164" s="57">
        <f ca="1">AVERAGE(OFFSET($BH$3,0,0,'Données projet'!$E$11+1,1))-AVERAGE(OFFSET($H$3,0,0,'Données projet'!$E$11+1,1))</f>
        <v>495.6473104257044</v>
      </c>
      <c r="BJ164" s="57">
        <f t="shared" si="146"/>
        <v>430.92527296485201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31.130761601390343</v>
      </c>
      <c r="BQ164" s="21">
        <f>EXP(-LN(2)/25)*BQ163+(1-EXP(-LN(2)/25))/(LN(2)/25)*Calculateur!BL164*Calculateur!BN164*VLOOKUP('Données projet'!$B$11,Paramètres!$A$1:$I$89,3,0)*0.475*44/12</f>
        <v>1.3322501084469314</v>
      </c>
      <c r="BR164" s="21">
        <f>EXP(-LN(2)/2)*BR163+(1-EXP(-LN(2)/2))/(LN(2)/2)*BL164*BO164*VLOOKUP('Données projet'!$B$11,Paramètres!$A$1:$I$89,3,0)*0.475*44/12</f>
        <v>1.4026017513697168E-20</v>
      </c>
      <c r="BS164" s="22">
        <f t="shared" si="169"/>
        <v>32.463011709837275</v>
      </c>
      <c r="BT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7" t="e">
        <f t="shared" si="119"/>
        <v>#NUM!</v>
      </c>
      <c r="CD164" s="57">
        <f ca="1">AVERAGE(OFFSET($CC$3,0,0,'Données projet'!$E$12+1,1))-AVERAGE(OFFSET($H$3,0,0,'Données projet'!$E$12+1,1))</f>
        <v>187.80389738728508</v>
      </c>
      <c r="CE164" s="57">
        <f t="shared" si="148"/>
        <v>439.28159165815265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9.2254884517748152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2.3653335365885253E-20</v>
      </c>
      <c r="CN164" s="22">
        <f t="shared" si="172"/>
        <v>9.2254884517748152</v>
      </c>
      <c r="CO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267</v>
      </c>
      <c r="CU164" s="17">
        <f>CT164*VLOOKUP('Données projet'!$B$13,Paramètres!$A$1:$I$89,3,0)*VLOOKUP('Données projet'!$B$13,Paramètres!$A$1:$I$89,5,0)</f>
        <v>241.58159999999998</v>
      </c>
      <c r="CV164" s="13">
        <f t="shared" si="173"/>
        <v>58.779689232021951</v>
      </c>
      <c r="CW164" s="20">
        <f t="shared" si="174"/>
        <v>523.12924541243819</v>
      </c>
      <c r="CX164" s="57">
        <f t="shared" si="122"/>
        <v>816.46257874577145</v>
      </c>
      <c r="CY164" s="57">
        <f ca="1">AVERAGE(OFFSET($CX$3,0,0,'Données projet'!$E$13+1,1))-AVERAGE(OFFSET($H$3,0,0,'Données projet'!$E$13+1,1))</f>
        <v>364.3481978218424</v>
      </c>
      <c r="CZ164" s="57">
        <f t="shared" si="150"/>
        <v>231.36959598460686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30.395167771308348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30.395167771308348</v>
      </c>
      <c r="DJ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255.00000000000006</v>
      </c>
      <c r="DP164" s="17">
        <f>DO164*VLOOKUP('Données projet'!$B$14,Paramètres!$A$1:$I$89,3,0)*VLOOKUP('Données projet'!$B$14,Paramètres!$A$1:$I$89,5,0)</f>
        <v>186.96600000000004</v>
      </c>
      <c r="DQ164" s="13">
        <f t="shared" si="176"/>
        <v>46.868551400324648</v>
      </c>
      <c r="DR164" s="20">
        <f t="shared" si="177"/>
        <v>407.26184368889881</v>
      </c>
      <c r="DS164" s="57">
        <f t="shared" si="125"/>
        <v>700.59517702223206</v>
      </c>
      <c r="DT164" s="57">
        <f ca="1">AVERAGE(OFFSET($DS$3,0,0,'Données projet'!$E$14+1,1))-AVERAGE(OFFSET($H$3,0,0,'Données projet'!$E$14+1,1))</f>
        <v>239.25212250019609</v>
      </c>
      <c r="DU164" s="57">
        <f t="shared" si="152"/>
        <v>213.58492101729695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403.99999999999994</v>
      </c>
      <c r="EK164" s="17">
        <f>EJ164*VLOOKUP('Données projet'!$B$15,Paramètres!$A$1:$I$89,3,0)*VLOOKUP('Données projet'!$B$15,Paramètres!$A$1:$I$89,5,0)</f>
        <v>346.63200000000001</v>
      </c>
      <c r="EL164" s="13">
        <f t="shared" si="179"/>
        <v>80.868615263336864</v>
      </c>
      <c r="EM164" s="20">
        <f t="shared" si="180"/>
        <v>744.56357158364483</v>
      </c>
      <c r="EN164" s="57">
        <f t="shared" si="128"/>
        <v>1037.8969049169782</v>
      </c>
      <c r="EO164" s="57">
        <f ca="1">AVERAGE(OFFSET($EN$3,0,0,'Données projet'!$E$15+1,1))-AVERAGE(OFFSET($H$3,0,0,'Données projet'!$E$15+1,1))</f>
        <v>447.10969593632467</v>
      </c>
      <c r="EP164" s="57">
        <f t="shared" si="154"/>
        <v>256.77417912163997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44.176338200774126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44.176338200774126</v>
      </c>
      <c r="EZ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7" t="e">
        <f t="shared" si="131"/>
        <v>#N/A</v>
      </c>
      <c r="FJ164" s="57" t="e">
        <f ca="1">AVERAGE(OFFSET($FI$3,0,0,'Données projet'!$E$16+1,1))-AVERAGE(OFFSET($H$3,0,0,'Données projet'!$E$16+1,1))</f>
        <v>#N/A</v>
      </c>
      <c r="FK164" s="57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7" t="e">
        <f t="shared" si="134"/>
        <v>#N/A</v>
      </c>
      <c r="GE164" s="57" t="e">
        <f ca="1">AVERAGE(OFFSET($GD$3,0,0,'Données projet'!$E$17+1,1))-AVERAGE(OFFSET($H$3,0,0,'Données projet'!$E$17+1,1))</f>
        <v>#N/A</v>
      </c>
      <c r="GF164" s="57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7" t="e">
        <f t="shared" si="137"/>
        <v>#N/A</v>
      </c>
      <c r="GZ164" s="57" t="e">
        <f ca="1">AVERAGE(OFFSET($GY$3,0,0,'Données projet'!$E$18+1,1))-AVERAGE(OFFSET($H$3,0,0,'Données projet'!$E$18+1,1))</f>
        <v>#N/A</v>
      </c>
      <c r="HA164" s="57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0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4">
        <f t="shared" si="110"/>
        <v>256.66666666666669</v>
      </c>
      <c r="I165" s="6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636.99999999999977</v>
      </c>
      <c r="O165" s="13">
        <f>N165*VLOOKUP('Données projet'!$B$9,Paramètres!$A$1:$I$89,3,0)*VLOOKUP('Données projet'!$B$9,Paramètres!$A$1:$I$89,5,0)</f>
        <v>356.08299999999991</v>
      </c>
      <c r="P165" s="13">
        <f t="shared" si="141"/>
        <v>82.813805255716545</v>
      </c>
      <c r="Q165" s="20">
        <f t="shared" si="162"/>
        <v>764.41193582037283</v>
      </c>
      <c r="R165" s="57">
        <f t="shared" si="109"/>
        <v>1057.7452691537062</v>
      </c>
      <c r="S165" s="57">
        <f ca="1">AVERAGE(OFFSET($R$3,0,0,'Données projet'!$E$9+1,1))-AVERAGE(OFFSET($H$3,0,0,'Données projet'!$E$9+1,1))</f>
        <v>443.34220761968419</v>
      </c>
      <c r="T165" s="57">
        <f t="shared" si="142"/>
        <v>546.58234447298014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12.964125929494848</v>
      </c>
      <c r="AA165" s="21">
        <f>EXP(-LN(2)/25)*AA164+(1-EXP(-LN(2)/25))/(LN(2)/25)*Calculateur!V165*Calculateur!X165*VLOOKUP('Données projet'!$B$9,Paramètres!$A$1:$I$89,3,0)*0.475*44/12</f>
        <v>0.56460520613718257</v>
      </c>
      <c r="AB165" s="21">
        <f>EXP(-LN(2)/2)*AB164+(1-EXP(-LN(2)/2))/(LN(2)/2)*V165*Y165*VLOOKUP('Données projet'!$B$9,Paramètres!$A$1:$I$89,3,0)*0.475*44/12</f>
        <v>8.188161575563756E-20</v>
      </c>
      <c r="AC165" s="22">
        <f t="shared" si="163"/>
        <v>13.528731135632031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911.99999999999898</v>
      </c>
      <c r="AJ165" s="13">
        <f>AI165*VLOOKUP('Données projet'!$B$10,Paramètres!$A$1:$I$89,3,0)*VLOOKUP('Données projet'!$B$10,Paramètres!$A$1:$I$89,5,0)</f>
        <v>426.81599999999946</v>
      </c>
      <c r="AK165" s="13">
        <f t="shared" si="164"/>
        <v>97.192496986872399</v>
      </c>
      <c r="AL165" s="20">
        <f t="shared" si="165"/>
        <v>912.64813225213504</v>
      </c>
      <c r="AM165" s="57">
        <f t="shared" si="113"/>
        <v>1205.9814655854684</v>
      </c>
      <c r="AN165" s="57">
        <f ca="1">AVERAGE(OFFSET($AM$3,0,0,'Données projet'!$E$10+1,1))-AVERAGE(OFFSET($H$3,0,0,'Données projet'!$E$10+1,1))</f>
        <v>524.3999528951972</v>
      </c>
      <c r="AO165" s="57">
        <f t="shared" si="144"/>
        <v>459.3547783500515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29.297013323384867</v>
      </c>
      <c r="AV165" s="21">
        <f>EXP(-LN(2)/25)*AV164+(1-EXP(-LN(2)/25))/(LN(2)/25)*Calculateur!AQ165*Calculateur!AS165*VLOOKUP('Données projet'!$B$10,Paramètres!$A$1:$I$89,3,0)*0.475*44/12</f>
        <v>1.3754154613318728</v>
      </c>
      <c r="AW165" s="21">
        <f>EXP(-LN(2)/2)*AW164+(1-EXP(-LN(2)/2))/(LN(2)/2)*AQ165*AT165*VLOOKUP('Données projet'!$B$10,Paramètres!$A$1:$I$89,3,0)*0.475*44/12</f>
        <v>1.6157873234043498E-20</v>
      </c>
      <c r="AX165" s="21">
        <f t="shared" si="166"/>
        <v>30.67242878471674</v>
      </c>
      <c r="AY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852.00000000000011</v>
      </c>
      <c r="BE165" s="13">
        <f>BD165*VLOOKUP('Données projet'!$B$11,Paramètres!$A$1:$I$89,3,0)*VLOOKUP('Données projet'!$B$11,Paramètres!$A$1:$I$89,5,0)</f>
        <v>409.81200000000013</v>
      </c>
      <c r="BF165" s="13">
        <f t="shared" si="167"/>
        <v>93.76308331402879</v>
      </c>
      <c r="BG165" s="20">
        <f t="shared" si="168"/>
        <v>877.05993677193362</v>
      </c>
      <c r="BH165" s="57">
        <f t="shared" si="116"/>
        <v>1170.393270105267</v>
      </c>
      <c r="BI165" s="57">
        <f ca="1">AVERAGE(OFFSET($BH$3,0,0,'Données projet'!$E$11+1,1))-AVERAGE(OFFSET($H$3,0,0,'Données projet'!$E$11+1,1))</f>
        <v>495.6473104257044</v>
      </c>
      <c r="BJ165" s="57">
        <f t="shared" si="146"/>
        <v>430.92527296485201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30.520306354276759</v>
      </c>
      <c r="BQ165" s="21">
        <f>EXP(-LN(2)/25)*BQ164+(1-EXP(-LN(2)/25))/(LN(2)/25)*Calculateur!BL165*Calculateur!BN165*VLOOKUP('Données projet'!$B$11,Paramètres!$A$1:$I$89,3,0)*0.475*44/12</f>
        <v>1.2958196591714617</v>
      </c>
      <c r="BR165" s="21">
        <f>EXP(-LN(2)/2)*BR164+(1-EXP(-LN(2)/2))/(LN(2)/2)*BL165*BO165*VLOOKUP('Données projet'!$B$11,Paramètres!$A$1:$I$89,3,0)*0.475*44/12</f>
        <v>9.917892096976547E-21</v>
      </c>
      <c r="BS165" s="22">
        <f t="shared" si="169"/>
        <v>31.816126013448219</v>
      </c>
      <c r="BT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7" t="e">
        <f t="shared" si="119"/>
        <v>#NUM!</v>
      </c>
      <c r="CD165" s="57">
        <f ca="1">AVERAGE(OFFSET($CC$3,0,0,'Données projet'!$E$12+1,1))-AVERAGE(OFFSET($H$3,0,0,'Données projet'!$E$12+1,1))</f>
        <v>187.80389738728508</v>
      </c>
      <c r="CE165" s="57">
        <f t="shared" si="148"/>
        <v>439.28159165815265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9.0445822502278475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1.6725433834897049E-20</v>
      </c>
      <c r="CN165" s="22">
        <f t="shared" si="172"/>
        <v>9.0445822502278475</v>
      </c>
      <c r="CO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267</v>
      </c>
      <c r="CU165" s="17">
        <f>CT165*VLOOKUP('Données projet'!$B$13,Paramètres!$A$1:$I$89,3,0)*VLOOKUP('Données projet'!$B$13,Paramètres!$A$1:$I$89,5,0)</f>
        <v>241.58159999999998</v>
      </c>
      <c r="CV165" s="13">
        <f t="shared" si="173"/>
        <v>58.779689232021951</v>
      </c>
      <c r="CW165" s="20">
        <f t="shared" si="174"/>
        <v>523.12924541243819</v>
      </c>
      <c r="CX165" s="57">
        <f t="shared" si="122"/>
        <v>816.46257874577145</v>
      </c>
      <c r="CY165" s="57">
        <f ca="1">AVERAGE(OFFSET($CX$3,0,0,'Données projet'!$E$13+1,1))-AVERAGE(OFFSET($H$3,0,0,'Données projet'!$E$13+1,1))</f>
        <v>364.3481978218424</v>
      </c>
      <c r="CZ165" s="57">
        <f t="shared" si="150"/>
        <v>231.36959598460686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29.799137070534737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29.799137070534737</v>
      </c>
      <c r="DJ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255.00000000000006</v>
      </c>
      <c r="DP165" s="17">
        <f>DO165*VLOOKUP('Données projet'!$B$14,Paramètres!$A$1:$I$89,3,0)*VLOOKUP('Données projet'!$B$14,Paramètres!$A$1:$I$89,5,0)</f>
        <v>186.96600000000004</v>
      </c>
      <c r="DQ165" s="13">
        <f t="shared" si="176"/>
        <v>46.868551400324648</v>
      </c>
      <c r="DR165" s="20">
        <f t="shared" si="177"/>
        <v>407.26184368889881</v>
      </c>
      <c r="DS165" s="57">
        <f t="shared" si="125"/>
        <v>700.59517702223206</v>
      </c>
      <c r="DT165" s="57">
        <f ca="1">AVERAGE(OFFSET($DS$3,0,0,'Données projet'!$E$14+1,1))-AVERAGE(OFFSET($H$3,0,0,'Données projet'!$E$14+1,1))</f>
        <v>239.25212250019609</v>
      </c>
      <c r="DU165" s="57">
        <f t="shared" si="152"/>
        <v>213.58492101729695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403.99999999999994</v>
      </c>
      <c r="EK165" s="17">
        <f>EJ165*VLOOKUP('Données projet'!$B$15,Paramètres!$A$1:$I$89,3,0)*VLOOKUP('Données projet'!$B$15,Paramètres!$A$1:$I$89,5,0)</f>
        <v>346.63200000000001</v>
      </c>
      <c r="EL165" s="13">
        <f t="shared" si="179"/>
        <v>80.868615263336864</v>
      </c>
      <c r="EM165" s="20">
        <f t="shared" si="180"/>
        <v>744.56357158364483</v>
      </c>
      <c r="EN165" s="57">
        <f t="shared" si="128"/>
        <v>1037.8969049169782</v>
      </c>
      <c r="EO165" s="57">
        <f ca="1">AVERAGE(OFFSET($EN$3,0,0,'Données projet'!$E$15+1,1))-AVERAGE(OFFSET($H$3,0,0,'Données projet'!$E$15+1,1))</f>
        <v>447.10969593632467</v>
      </c>
      <c r="EP165" s="57">
        <f t="shared" si="154"/>
        <v>256.77417912163997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43.310067153562656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43.310067153562656</v>
      </c>
      <c r="EZ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7" t="e">
        <f t="shared" si="131"/>
        <v>#N/A</v>
      </c>
      <c r="FJ165" s="57" t="e">
        <f ca="1">AVERAGE(OFFSET($FI$3,0,0,'Données projet'!$E$16+1,1))-AVERAGE(OFFSET($H$3,0,0,'Données projet'!$E$16+1,1))</f>
        <v>#N/A</v>
      </c>
      <c r="FK165" s="57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7" t="e">
        <f t="shared" si="134"/>
        <v>#N/A</v>
      </c>
      <c r="GE165" s="57" t="e">
        <f ca="1">AVERAGE(OFFSET($GD$3,0,0,'Données projet'!$E$17+1,1))-AVERAGE(OFFSET($H$3,0,0,'Données projet'!$E$17+1,1))</f>
        <v>#N/A</v>
      </c>
      <c r="GF165" s="57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7" t="e">
        <f t="shared" si="137"/>
        <v>#N/A</v>
      </c>
      <c r="GZ165" s="57" t="e">
        <f ca="1">AVERAGE(OFFSET($GY$3,0,0,'Données projet'!$E$18+1,1))-AVERAGE(OFFSET($H$3,0,0,'Données projet'!$E$18+1,1))</f>
        <v>#N/A</v>
      </c>
      <c r="HA165" s="57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0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4">
        <f t="shared" si="110"/>
        <v>256.66666666666669</v>
      </c>
      <c r="I166" s="6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636.99999999999977</v>
      </c>
      <c r="O166" s="13">
        <f>N166*VLOOKUP('Données projet'!$B$9,Paramètres!$A$1:$I$89,3,0)*VLOOKUP('Données projet'!$B$9,Paramètres!$A$1:$I$89,5,0)</f>
        <v>356.08299999999991</v>
      </c>
      <c r="P166" s="13">
        <f t="shared" si="141"/>
        <v>82.813805255716545</v>
      </c>
      <c r="Q166" s="20">
        <f t="shared" si="162"/>
        <v>764.41193582037283</v>
      </c>
      <c r="R166" s="57">
        <f t="shared" si="109"/>
        <v>1057.7452691537062</v>
      </c>
      <c r="S166" s="57">
        <f ca="1">AVERAGE(OFFSET($R$3,0,0,'Données projet'!$E$9+1,1))-AVERAGE(OFFSET($H$3,0,0,'Données projet'!$E$9+1,1))</f>
        <v>443.34220761968419</v>
      </c>
      <c r="T166" s="57">
        <f t="shared" si="142"/>
        <v>546.58234447298014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12.709907327353486</v>
      </c>
      <c r="AA166" s="21">
        <f>EXP(-LN(2)/25)*AA165+(1-EXP(-LN(2)/25))/(LN(2)/25)*Calculateur!V166*Calculateur!X166*VLOOKUP('Données projet'!$B$9,Paramètres!$A$1:$I$89,3,0)*0.475*44/12</f>
        <v>0.54916604708406391</v>
      </c>
      <c r="AB166" s="21">
        <f>EXP(-LN(2)/2)*AB165+(1-EXP(-LN(2)/2))/(LN(2)/2)*V166*Y166*VLOOKUP('Données projet'!$B$9,Paramètres!$A$1:$I$89,3,0)*0.475*44/12</f>
        <v>5.789904575532257E-20</v>
      </c>
      <c r="AC166" s="22">
        <f t="shared" si="163"/>
        <v>13.25907337443755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911.99999999999898</v>
      </c>
      <c r="AJ166" s="13">
        <f>AI166*VLOOKUP('Données projet'!$B$10,Paramètres!$A$1:$I$89,3,0)*VLOOKUP('Données projet'!$B$10,Paramètres!$A$1:$I$89,5,0)</f>
        <v>426.81599999999946</v>
      </c>
      <c r="AK166" s="13">
        <f t="shared" si="164"/>
        <v>97.192496986872399</v>
      </c>
      <c r="AL166" s="20">
        <f t="shared" si="165"/>
        <v>912.64813225213504</v>
      </c>
      <c r="AM166" s="57">
        <f t="shared" si="113"/>
        <v>1205.9814655854684</v>
      </c>
      <c r="AN166" s="57">
        <f ca="1">AVERAGE(OFFSET($AM$3,0,0,'Données projet'!$E$10+1,1))-AVERAGE(OFFSET($H$3,0,0,'Données projet'!$E$10+1,1))</f>
        <v>524.3999528951972</v>
      </c>
      <c r="AO166" s="57">
        <f t="shared" si="144"/>
        <v>459.3547783500515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28.722516761526958</v>
      </c>
      <c r="AV166" s="21">
        <f>EXP(-LN(2)/25)*AV165+(1-EXP(-LN(2)/25))/(LN(2)/25)*Calculateur!AQ166*Calculateur!AS166*VLOOKUP('Données projet'!$B$10,Paramètres!$A$1:$I$89,3,0)*0.475*44/12</f>
        <v>1.3378046532117971</v>
      </c>
      <c r="AW166" s="21">
        <f>EXP(-LN(2)/2)*AW165+(1-EXP(-LN(2)/2))/(LN(2)/2)*AQ166*AT166*VLOOKUP('Données projet'!$B$10,Paramètres!$A$1:$I$89,3,0)*0.475*44/12</f>
        <v>1.1425341733344769E-20</v>
      </c>
      <c r="AX166" s="21">
        <f t="shared" si="166"/>
        <v>30.060321414738755</v>
      </c>
      <c r="AY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852.00000000000011</v>
      </c>
      <c r="BE166" s="13">
        <f>BD166*VLOOKUP('Données projet'!$B$11,Paramètres!$A$1:$I$89,3,0)*VLOOKUP('Données projet'!$B$11,Paramètres!$A$1:$I$89,5,0)</f>
        <v>409.81200000000013</v>
      </c>
      <c r="BF166" s="13">
        <f t="shared" si="167"/>
        <v>93.76308331402879</v>
      </c>
      <c r="BG166" s="20">
        <f t="shared" si="168"/>
        <v>877.05993677193362</v>
      </c>
      <c r="BH166" s="57">
        <f t="shared" si="116"/>
        <v>1170.393270105267</v>
      </c>
      <c r="BI166" s="57">
        <f ca="1">AVERAGE(OFFSET($BH$3,0,0,'Données projet'!$E$11+1,1))-AVERAGE(OFFSET($H$3,0,0,'Données projet'!$E$11+1,1))</f>
        <v>495.6473104257044</v>
      </c>
      <c r="BJ166" s="57">
        <f t="shared" si="146"/>
        <v>430.92527296485201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29.921821762218134</v>
      </c>
      <c r="BQ166" s="21">
        <f>EXP(-LN(2)/25)*BQ165+(1-EXP(-LN(2)/25))/(LN(2)/25)*Calculateur!BL166*Calculateur!BN166*VLOOKUP('Données projet'!$B$11,Paramètres!$A$1:$I$89,3,0)*0.475*44/12</f>
        <v>1.2603854024472239</v>
      </c>
      <c r="BR166" s="21">
        <f>EXP(-LN(2)/2)*BR165+(1-EXP(-LN(2)/2))/(LN(2)/2)*BL166*BO166*VLOOKUP('Données projet'!$B$11,Paramètres!$A$1:$I$89,3,0)*0.475*44/12</f>
        <v>7.0130087568485842E-21</v>
      </c>
      <c r="BS166" s="22">
        <f t="shared" si="169"/>
        <v>31.182207164665357</v>
      </c>
      <c r="BT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7" t="e">
        <f t="shared" si="119"/>
        <v>#NUM!</v>
      </c>
      <c r="CD166" s="57">
        <f ca="1">AVERAGE(OFFSET($CC$3,0,0,'Données projet'!$E$12+1,1))-AVERAGE(OFFSET($H$3,0,0,'Données projet'!$E$12+1,1))</f>
        <v>187.80389738728508</v>
      </c>
      <c r="CE166" s="57">
        <f t="shared" si="148"/>
        <v>439.28159165815265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8.8672235089513283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1.1826667682942626E-20</v>
      </c>
      <c r="CN166" s="22">
        <f t="shared" si="172"/>
        <v>8.8672235089513283</v>
      </c>
      <c r="CO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267</v>
      </c>
      <c r="CU166" s="17">
        <f>CT166*VLOOKUP('Données projet'!$B$13,Paramètres!$A$1:$I$89,3,0)*VLOOKUP('Données projet'!$B$13,Paramètres!$A$1:$I$89,5,0)</f>
        <v>241.58159999999998</v>
      </c>
      <c r="CV166" s="13">
        <f t="shared" si="173"/>
        <v>58.779689232021951</v>
      </c>
      <c r="CW166" s="20">
        <f t="shared" si="174"/>
        <v>523.12924541243819</v>
      </c>
      <c r="CX166" s="57">
        <f t="shared" si="122"/>
        <v>816.46257874577145</v>
      </c>
      <c r="CY166" s="57">
        <f ca="1">AVERAGE(OFFSET($CX$3,0,0,'Données projet'!$E$13+1,1))-AVERAGE(OFFSET($H$3,0,0,'Données projet'!$E$13+1,1))</f>
        <v>364.3481978218424</v>
      </c>
      <c r="CZ166" s="57">
        <f t="shared" si="150"/>
        <v>231.36959598460686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29.214794168260465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29.214794168260465</v>
      </c>
      <c r="DJ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255.00000000000006</v>
      </c>
      <c r="DP166" s="17">
        <f>DO166*VLOOKUP('Données projet'!$B$14,Paramètres!$A$1:$I$89,3,0)*VLOOKUP('Données projet'!$B$14,Paramètres!$A$1:$I$89,5,0)</f>
        <v>186.96600000000004</v>
      </c>
      <c r="DQ166" s="13">
        <f t="shared" si="176"/>
        <v>46.868551400324648</v>
      </c>
      <c r="DR166" s="20">
        <f t="shared" si="177"/>
        <v>407.26184368889881</v>
      </c>
      <c r="DS166" s="57">
        <f t="shared" si="125"/>
        <v>700.59517702223206</v>
      </c>
      <c r="DT166" s="57">
        <f ca="1">AVERAGE(OFFSET($DS$3,0,0,'Données projet'!$E$14+1,1))-AVERAGE(OFFSET($H$3,0,0,'Données projet'!$E$14+1,1))</f>
        <v>239.25212250019609</v>
      </c>
      <c r="DU166" s="57">
        <f t="shared" si="152"/>
        <v>213.58492101729695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403.99999999999994</v>
      </c>
      <c r="EK166" s="17">
        <f>EJ166*VLOOKUP('Données projet'!$B$15,Paramètres!$A$1:$I$89,3,0)*VLOOKUP('Données projet'!$B$15,Paramètres!$A$1:$I$89,5,0)</f>
        <v>346.63200000000001</v>
      </c>
      <c r="EL166" s="13">
        <f t="shared" si="179"/>
        <v>80.868615263336864</v>
      </c>
      <c r="EM166" s="20">
        <f t="shared" si="180"/>
        <v>744.56357158364483</v>
      </c>
      <c r="EN166" s="57">
        <f t="shared" si="128"/>
        <v>1037.8969049169782</v>
      </c>
      <c r="EO166" s="57">
        <f ca="1">AVERAGE(OFFSET($EN$3,0,0,'Données projet'!$E$15+1,1))-AVERAGE(OFFSET($H$3,0,0,'Données projet'!$E$15+1,1))</f>
        <v>447.10969593632467</v>
      </c>
      <c r="EP166" s="57">
        <f t="shared" si="154"/>
        <v>256.77417912163997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42.460783153213839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42.460783153213839</v>
      </c>
      <c r="EZ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7" t="e">
        <f t="shared" si="131"/>
        <v>#N/A</v>
      </c>
      <c r="FJ166" s="57" t="e">
        <f ca="1">AVERAGE(OFFSET($FI$3,0,0,'Données projet'!$E$16+1,1))-AVERAGE(OFFSET($H$3,0,0,'Données projet'!$E$16+1,1))</f>
        <v>#N/A</v>
      </c>
      <c r="FK166" s="57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7" t="e">
        <f t="shared" si="134"/>
        <v>#N/A</v>
      </c>
      <c r="GE166" s="57" t="e">
        <f ca="1">AVERAGE(OFFSET($GD$3,0,0,'Données projet'!$E$17+1,1))-AVERAGE(OFFSET($H$3,0,0,'Données projet'!$E$17+1,1))</f>
        <v>#N/A</v>
      </c>
      <c r="GF166" s="57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7" t="e">
        <f t="shared" si="137"/>
        <v>#N/A</v>
      </c>
      <c r="GZ166" s="57" t="e">
        <f ca="1">AVERAGE(OFFSET($GY$3,0,0,'Données projet'!$E$18+1,1))-AVERAGE(OFFSET($H$3,0,0,'Données projet'!$E$18+1,1))</f>
        <v>#N/A</v>
      </c>
      <c r="HA166" s="57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0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4">
        <f t="shared" si="110"/>
        <v>256.66666666666669</v>
      </c>
      <c r="I167" s="6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636.99999999999977</v>
      </c>
      <c r="O167" s="13">
        <f>N167*VLOOKUP('Données projet'!$B$9,Paramètres!$A$1:$I$89,3,0)*VLOOKUP('Données projet'!$B$9,Paramètres!$A$1:$I$89,5,0)</f>
        <v>356.08299999999991</v>
      </c>
      <c r="P167" s="13">
        <f t="shared" si="141"/>
        <v>82.813805255716545</v>
      </c>
      <c r="Q167" s="20">
        <f t="shared" si="162"/>
        <v>764.41193582037283</v>
      </c>
      <c r="R167" s="57">
        <f t="shared" si="109"/>
        <v>1057.7452691537062</v>
      </c>
      <c r="S167" s="57">
        <f ca="1">AVERAGE(OFFSET($R$3,0,0,'Données projet'!$E$9+1,1))-AVERAGE(OFFSET($H$3,0,0,'Données projet'!$E$9+1,1))</f>
        <v>443.34220761968419</v>
      </c>
      <c r="T167" s="57">
        <f t="shared" si="142"/>
        <v>546.58234447298014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12.46067379694208</v>
      </c>
      <c r="AA167" s="21">
        <f>EXP(-LN(2)/25)*AA166+(1-EXP(-LN(2)/25))/(LN(2)/25)*Calculateur!V167*Calculateur!X167*VLOOKUP('Données projet'!$B$9,Paramètres!$A$1:$I$89,3,0)*0.475*44/12</f>
        <v>0.53414907264716294</v>
      </c>
      <c r="AB167" s="21">
        <f>EXP(-LN(2)/2)*AB166+(1-EXP(-LN(2)/2))/(LN(2)/2)*V167*Y167*VLOOKUP('Données projet'!$B$9,Paramètres!$A$1:$I$89,3,0)*0.475*44/12</f>
        <v>4.094080787781878E-20</v>
      </c>
      <c r="AC167" s="22">
        <f t="shared" si="163"/>
        <v>12.994822869589242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911.99999999999898</v>
      </c>
      <c r="AJ167" s="13">
        <f>AI167*VLOOKUP('Données projet'!$B$10,Paramètres!$A$1:$I$89,3,0)*VLOOKUP('Données projet'!$B$10,Paramètres!$A$1:$I$89,5,0)</f>
        <v>426.81599999999946</v>
      </c>
      <c r="AK167" s="13">
        <f t="shared" si="164"/>
        <v>97.192496986872399</v>
      </c>
      <c r="AL167" s="20">
        <f t="shared" si="165"/>
        <v>912.64813225213504</v>
      </c>
      <c r="AM167" s="57">
        <f t="shared" si="113"/>
        <v>1205.9814655854684</v>
      </c>
      <c r="AN167" s="57">
        <f ca="1">AVERAGE(OFFSET($AM$3,0,0,'Données projet'!$E$10+1,1))-AVERAGE(OFFSET($H$3,0,0,'Données projet'!$E$10+1,1))</f>
        <v>524.3999528951972</v>
      </c>
      <c r="AO167" s="57">
        <f t="shared" si="144"/>
        <v>459.3547783500515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28.159285726838782</v>
      </c>
      <c r="AV167" s="21">
        <f>EXP(-LN(2)/25)*AV166+(1-EXP(-LN(2)/25))/(LN(2)/25)*Calculateur!AQ167*Calculateur!AS167*VLOOKUP('Données projet'!$B$10,Paramètres!$A$1:$I$89,3,0)*0.475*44/12</f>
        <v>1.3012223146176314</v>
      </c>
      <c r="AW167" s="21">
        <f>EXP(-LN(2)/2)*AW166+(1-EXP(-LN(2)/2))/(LN(2)/2)*AQ167*AT167*VLOOKUP('Données projet'!$B$10,Paramètres!$A$1:$I$89,3,0)*0.475*44/12</f>
        <v>8.0789366170217491E-21</v>
      </c>
      <c r="AX167" s="21">
        <f t="shared" si="166"/>
        <v>29.460508041456414</v>
      </c>
      <c r="AY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852.00000000000011</v>
      </c>
      <c r="BE167" s="13">
        <f>BD167*VLOOKUP('Données projet'!$B$11,Paramètres!$A$1:$I$89,3,0)*VLOOKUP('Données projet'!$B$11,Paramètres!$A$1:$I$89,5,0)</f>
        <v>409.81200000000013</v>
      </c>
      <c r="BF167" s="13">
        <f t="shared" si="167"/>
        <v>93.76308331402879</v>
      </c>
      <c r="BG167" s="20">
        <f t="shared" si="168"/>
        <v>877.05993677193362</v>
      </c>
      <c r="BH167" s="57">
        <f t="shared" si="116"/>
        <v>1170.393270105267</v>
      </c>
      <c r="BI167" s="57">
        <f ca="1">AVERAGE(OFFSET($BH$3,0,0,'Données projet'!$E$11+1,1))-AVERAGE(OFFSET($H$3,0,0,'Données projet'!$E$11+1,1))</f>
        <v>495.6473104257044</v>
      </c>
      <c r="BJ167" s="57">
        <f t="shared" si="146"/>
        <v>430.92527296485201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29.335073087970223</v>
      </c>
      <c r="BQ167" s="21">
        <f>EXP(-LN(2)/25)*BQ166+(1-EXP(-LN(2)/25))/(LN(2)/25)*Calculateur!BL167*Calculateur!BN167*VLOOKUP('Données projet'!$B$11,Paramètres!$A$1:$I$89,3,0)*0.475*44/12</f>
        <v>1.2259200973365167</v>
      </c>
      <c r="BR167" s="21">
        <f>EXP(-LN(2)/2)*BR166+(1-EXP(-LN(2)/2))/(LN(2)/2)*BL167*BO167*VLOOKUP('Données projet'!$B$11,Paramètres!$A$1:$I$89,3,0)*0.475*44/12</f>
        <v>4.9589460484882735E-21</v>
      </c>
      <c r="BS167" s="22">
        <f t="shared" si="169"/>
        <v>30.560993185306739</v>
      </c>
      <c r="BT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7" t="e">
        <f t="shared" si="119"/>
        <v>#NUM!</v>
      </c>
      <c r="CD167" s="57">
        <f ca="1">AVERAGE(OFFSET($CC$3,0,0,'Données projet'!$E$12+1,1))-AVERAGE(OFFSET($H$3,0,0,'Données projet'!$E$12+1,1))</f>
        <v>187.80389738728508</v>
      </c>
      <c r="CE167" s="57">
        <f t="shared" si="148"/>
        <v>439.28159165815265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8.6933426644130911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8.3627169174485245E-21</v>
      </c>
      <c r="CN167" s="22">
        <f t="shared" si="172"/>
        <v>8.6933426644130911</v>
      </c>
      <c r="CO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267</v>
      </c>
      <c r="CU167" s="17">
        <f>CT167*VLOOKUP('Données projet'!$B$13,Paramètres!$A$1:$I$89,3,0)*VLOOKUP('Données projet'!$B$13,Paramètres!$A$1:$I$89,5,0)</f>
        <v>241.58159999999998</v>
      </c>
      <c r="CV167" s="13">
        <f t="shared" si="173"/>
        <v>58.779689232021951</v>
      </c>
      <c r="CW167" s="20">
        <f t="shared" si="174"/>
        <v>523.12924541243819</v>
      </c>
      <c r="CX167" s="57">
        <f t="shared" si="122"/>
        <v>816.46257874577145</v>
      </c>
      <c r="CY167" s="57">
        <f ca="1">AVERAGE(OFFSET($CX$3,0,0,'Données projet'!$E$13+1,1))-AVERAGE(OFFSET($H$3,0,0,'Données projet'!$E$13+1,1))</f>
        <v>364.3481978218424</v>
      </c>
      <c r="CZ167" s="57">
        <f t="shared" si="150"/>
        <v>231.36959598460686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28.641909873885812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28.641909873885812</v>
      </c>
      <c r="DJ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255.00000000000006</v>
      </c>
      <c r="DP167" s="17">
        <f>DO167*VLOOKUP('Données projet'!$B$14,Paramètres!$A$1:$I$89,3,0)*VLOOKUP('Données projet'!$B$14,Paramètres!$A$1:$I$89,5,0)</f>
        <v>186.96600000000004</v>
      </c>
      <c r="DQ167" s="13">
        <f t="shared" si="176"/>
        <v>46.868551400324648</v>
      </c>
      <c r="DR167" s="20">
        <f t="shared" si="177"/>
        <v>407.26184368889881</v>
      </c>
      <c r="DS167" s="57">
        <f t="shared" si="125"/>
        <v>700.59517702223206</v>
      </c>
      <c r="DT167" s="57">
        <f ca="1">AVERAGE(OFFSET($DS$3,0,0,'Données projet'!$E$14+1,1))-AVERAGE(OFFSET($H$3,0,0,'Données projet'!$E$14+1,1))</f>
        <v>239.25212250019609</v>
      </c>
      <c r="DU167" s="57">
        <f t="shared" si="152"/>
        <v>213.58492101729695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403.99999999999994</v>
      </c>
      <c r="EK167" s="17">
        <f>EJ167*VLOOKUP('Données projet'!$B$15,Paramètres!$A$1:$I$89,3,0)*VLOOKUP('Données projet'!$B$15,Paramètres!$A$1:$I$89,5,0)</f>
        <v>346.63200000000001</v>
      </c>
      <c r="EL167" s="13">
        <f t="shared" si="179"/>
        <v>80.868615263336864</v>
      </c>
      <c r="EM167" s="20">
        <f t="shared" si="180"/>
        <v>744.56357158364483</v>
      </c>
      <c r="EN167" s="57">
        <f t="shared" si="128"/>
        <v>1037.8969049169782</v>
      </c>
      <c r="EO167" s="57">
        <f ca="1">AVERAGE(OFFSET($EN$3,0,0,'Données projet'!$E$15+1,1))-AVERAGE(OFFSET($H$3,0,0,'Données projet'!$E$15+1,1))</f>
        <v>447.10969593632467</v>
      </c>
      <c r="EP167" s="57">
        <f t="shared" si="154"/>
        <v>256.77417912163997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41.628153094099773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41.628153094099773</v>
      </c>
      <c r="EZ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7" t="e">
        <f t="shared" si="131"/>
        <v>#N/A</v>
      </c>
      <c r="FJ167" s="57" t="e">
        <f ca="1">AVERAGE(OFFSET($FI$3,0,0,'Données projet'!$E$16+1,1))-AVERAGE(OFFSET($H$3,0,0,'Données projet'!$E$16+1,1))</f>
        <v>#N/A</v>
      </c>
      <c r="FK167" s="57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7" t="e">
        <f t="shared" si="134"/>
        <v>#N/A</v>
      </c>
      <c r="GE167" s="57" t="e">
        <f ca="1">AVERAGE(OFFSET($GD$3,0,0,'Données projet'!$E$17+1,1))-AVERAGE(OFFSET($H$3,0,0,'Données projet'!$E$17+1,1))</f>
        <v>#N/A</v>
      </c>
      <c r="GF167" s="57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7" t="e">
        <f t="shared" si="137"/>
        <v>#N/A</v>
      </c>
      <c r="GZ167" s="57" t="e">
        <f ca="1">AVERAGE(OFFSET($GY$3,0,0,'Données projet'!$E$18+1,1))-AVERAGE(OFFSET($H$3,0,0,'Données projet'!$E$18+1,1))</f>
        <v>#N/A</v>
      </c>
      <c r="HA167" s="57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0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4">
        <f t="shared" si="110"/>
        <v>256.66666666666669</v>
      </c>
      <c r="I168" s="6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636.99999999999977</v>
      </c>
      <c r="O168" s="13">
        <f>N168*VLOOKUP('Données projet'!$B$9,Paramètres!$A$1:$I$89,3,0)*VLOOKUP('Données projet'!$B$9,Paramètres!$A$1:$I$89,5,0)</f>
        <v>356.08299999999991</v>
      </c>
      <c r="P168" s="13">
        <f t="shared" si="141"/>
        <v>82.813805255716545</v>
      </c>
      <c r="Q168" s="20">
        <f t="shared" si="162"/>
        <v>764.41193582037283</v>
      </c>
      <c r="R168" s="57">
        <f t="shared" si="109"/>
        <v>1057.7452691537062</v>
      </c>
      <c r="S168" s="57">
        <f ca="1">AVERAGE(OFFSET($R$3,0,0,'Données projet'!$E$9+1,1))-AVERAGE(OFFSET($H$3,0,0,'Données projet'!$E$9+1,1))</f>
        <v>443.34220761968419</v>
      </c>
      <c r="T168" s="57">
        <f t="shared" si="142"/>
        <v>546.58234447298014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12.216327584044599</v>
      </c>
      <c r="AA168" s="21">
        <f>EXP(-LN(2)/25)*AA167+(1-EXP(-LN(2)/25))/(LN(2)/25)*Calculateur!V168*Calculateur!X168*VLOOKUP('Données projet'!$B$9,Paramètres!$A$1:$I$89,3,0)*0.475*44/12</f>
        <v>0.51954273816594732</v>
      </c>
      <c r="AB168" s="21">
        <f>EXP(-LN(2)/2)*AB167+(1-EXP(-LN(2)/2))/(LN(2)/2)*V168*Y168*VLOOKUP('Données projet'!$B$9,Paramètres!$A$1:$I$89,3,0)*0.475*44/12</f>
        <v>2.8949522877661285E-20</v>
      </c>
      <c r="AC168" s="22">
        <f t="shared" si="163"/>
        <v>12.735870322210546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911.99999999999898</v>
      </c>
      <c r="AJ168" s="13">
        <f>AI168*VLOOKUP('Données projet'!$B$10,Paramètres!$A$1:$I$89,3,0)*VLOOKUP('Données projet'!$B$10,Paramètres!$A$1:$I$89,5,0)</f>
        <v>426.81599999999946</v>
      </c>
      <c r="AK168" s="13">
        <f t="shared" si="164"/>
        <v>97.192496986872399</v>
      </c>
      <c r="AL168" s="20">
        <f t="shared" si="165"/>
        <v>912.64813225213504</v>
      </c>
      <c r="AM168" s="57">
        <f t="shared" si="113"/>
        <v>1205.9814655854684</v>
      </c>
      <c r="AN168" s="57">
        <f ca="1">AVERAGE(OFFSET($AM$3,0,0,'Données projet'!$E$10+1,1))-AVERAGE(OFFSET($H$3,0,0,'Données projet'!$E$10+1,1))</f>
        <v>524.3999528951972</v>
      </c>
      <c r="AO168" s="57">
        <f t="shared" si="144"/>
        <v>459.3547783500515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27.607099309203829</v>
      </c>
      <c r="AV168" s="21">
        <f>EXP(-LN(2)/25)*AV167+(1-EXP(-LN(2)/25))/(LN(2)/25)*Calculateur!AQ168*Calculateur!AS168*VLOOKUP('Données projet'!$B$10,Paramètres!$A$1:$I$89,3,0)*0.475*44/12</f>
        <v>1.2656403219961048</v>
      </c>
      <c r="AW168" s="21">
        <f>EXP(-LN(2)/2)*AW167+(1-EXP(-LN(2)/2))/(LN(2)/2)*AQ168*AT168*VLOOKUP('Données projet'!$B$10,Paramètres!$A$1:$I$89,3,0)*0.475*44/12</f>
        <v>5.7126708666723845E-21</v>
      </c>
      <c r="AX168" s="21">
        <f t="shared" si="166"/>
        <v>28.872739631199934</v>
      </c>
      <c r="AY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852.00000000000011</v>
      </c>
      <c r="BE168" s="13">
        <f>BD168*VLOOKUP('Données projet'!$B$11,Paramètres!$A$1:$I$89,3,0)*VLOOKUP('Données projet'!$B$11,Paramètres!$A$1:$I$89,5,0)</f>
        <v>409.81200000000013</v>
      </c>
      <c r="BF168" s="13">
        <f t="shared" si="167"/>
        <v>93.76308331402879</v>
      </c>
      <c r="BG168" s="20">
        <f t="shared" si="168"/>
        <v>877.05993677193362</v>
      </c>
      <c r="BH168" s="57">
        <f t="shared" si="116"/>
        <v>1170.393270105267</v>
      </c>
      <c r="BI168" s="57">
        <f ca="1">AVERAGE(OFFSET($BH$3,0,0,'Données projet'!$E$11+1,1))-AVERAGE(OFFSET($H$3,0,0,'Données projet'!$E$11+1,1))</f>
        <v>495.6473104257044</v>
      </c>
      <c r="BJ168" s="57">
        <f t="shared" si="146"/>
        <v>430.92527296485201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28.759830197342961</v>
      </c>
      <c r="BQ168" s="21">
        <f>EXP(-LN(2)/25)*BQ167+(1-EXP(-LN(2)/25))/(LN(2)/25)*Calculateur!BL168*Calculateur!BN168*VLOOKUP('Données projet'!$B$11,Paramètres!$A$1:$I$89,3,0)*0.475*44/12</f>
        <v>1.1923972478065137</v>
      </c>
      <c r="BR168" s="21">
        <f>EXP(-LN(2)/2)*BR167+(1-EXP(-LN(2)/2))/(LN(2)/2)*BL168*BO168*VLOOKUP('Données projet'!$B$11,Paramètres!$A$1:$I$89,3,0)*0.475*44/12</f>
        <v>3.5065043784242921E-21</v>
      </c>
      <c r="BS168" s="22">
        <f t="shared" si="169"/>
        <v>29.952227445149475</v>
      </c>
      <c r="BT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7" t="e">
        <f t="shared" si="119"/>
        <v>#NUM!</v>
      </c>
      <c r="CD168" s="57">
        <f ca="1">AVERAGE(OFFSET($CC$3,0,0,'Données projet'!$E$12+1,1))-AVERAGE(OFFSET($H$3,0,0,'Données projet'!$E$12+1,1))</f>
        <v>187.80389738728508</v>
      </c>
      <c r="CE168" s="57">
        <f t="shared" si="148"/>
        <v>439.28159165815265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8.5228715171794054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5.9133338414713131E-21</v>
      </c>
      <c r="CN168" s="22">
        <f t="shared" si="172"/>
        <v>8.5228715171794054</v>
      </c>
      <c r="CO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267</v>
      </c>
      <c r="CU168" s="17">
        <f>CT168*VLOOKUP('Données projet'!$B$13,Paramètres!$A$1:$I$89,3,0)*VLOOKUP('Données projet'!$B$13,Paramètres!$A$1:$I$89,5,0)</f>
        <v>241.58159999999998</v>
      </c>
      <c r="CV168" s="13">
        <f t="shared" si="173"/>
        <v>58.779689232021951</v>
      </c>
      <c r="CW168" s="20">
        <f t="shared" si="174"/>
        <v>523.12924541243819</v>
      </c>
      <c r="CX168" s="57">
        <f t="shared" si="122"/>
        <v>816.46257874577145</v>
      </c>
      <c r="CY168" s="57">
        <f ca="1">AVERAGE(OFFSET($CX$3,0,0,'Données projet'!$E$13+1,1))-AVERAGE(OFFSET($H$3,0,0,'Données projet'!$E$13+1,1))</f>
        <v>364.3481978218424</v>
      </c>
      <c r="CZ168" s="57">
        <f t="shared" si="150"/>
        <v>231.36959598460686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28.080259491098932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28.080259491098932</v>
      </c>
      <c r="DJ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255.00000000000006</v>
      </c>
      <c r="DP168" s="17">
        <f>DO168*VLOOKUP('Données projet'!$B$14,Paramètres!$A$1:$I$89,3,0)*VLOOKUP('Données projet'!$B$14,Paramètres!$A$1:$I$89,5,0)</f>
        <v>186.96600000000004</v>
      </c>
      <c r="DQ168" s="13">
        <f t="shared" si="176"/>
        <v>46.868551400324648</v>
      </c>
      <c r="DR168" s="20">
        <f t="shared" si="177"/>
        <v>407.26184368889881</v>
      </c>
      <c r="DS168" s="57">
        <f t="shared" si="125"/>
        <v>700.59517702223206</v>
      </c>
      <c r="DT168" s="57">
        <f ca="1">AVERAGE(OFFSET($DS$3,0,0,'Données projet'!$E$14+1,1))-AVERAGE(OFFSET($H$3,0,0,'Données projet'!$E$14+1,1))</f>
        <v>239.25212250019609</v>
      </c>
      <c r="DU168" s="57">
        <f t="shared" si="152"/>
        <v>213.58492101729695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403.99999999999994</v>
      </c>
      <c r="EK168" s="17">
        <f>EJ168*VLOOKUP('Données projet'!$B$15,Paramètres!$A$1:$I$89,3,0)*VLOOKUP('Données projet'!$B$15,Paramètres!$A$1:$I$89,5,0)</f>
        <v>346.63200000000001</v>
      </c>
      <c r="EL168" s="13">
        <f t="shared" si="179"/>
        <v>80.868615263336864</v>
      </c>
      <c r="EM168" s="20">
        <f t="shared" si="180"/>
        <v>744.56357158364483</v>
      </c>
      <c r="EN168" s="57">
        <f t="shared" si="128"/>
        <v>1037.8969049169782</v>
      </c>
      <c r="EO168" s="57">
        <f ca="1">AVERAGE(OFFSET($EN$3,0,0,'Données projet'!$E$15+1,1))-AVERAGE(OFFSET($H$3,0,0,'Données projet'!$E$15+1,1))</f>
        <v>447.10969593632467</v>
      </c>
      <c r="EP168" s="57">
        <f t="shared" si="154"/>
        <v>256.77417912163997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40.811850402590743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40.811850402590743</v>
      </c>
      <c r="EZ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7" t="e">
        <f t="shared" si="131"/>
        <v>#N/A</v>
      </c>
      <c r="FJ168" s="57" t="e">
        <f ca="1">AVERAGE(OFFSET($FI$3,0,0,'Données projet'!$E$16+1,1))-AVERAGE(OFFSET($H$3,0,0,'Données projet'!$E$16+1,1))</f>
        <v>#N/A</v>
      </c>
      <c r="FK168" s="57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7" t="e">
        <f t="shared" si="134"/>
        <v>#N/A</v>
      </c>
      <c r="GE168" s="57" t="e">
        <f ca="1">AVERAGE(OFFSET($GD$3,0,0,'Données projet'!$E$17+1,1))-AVERAGE(OFFSET($H$3,0,0,'Données projet'!$E$17+1,1))</f>
        <v>#N/A</v>
      </c>
      <c r="GF168" s="57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7" t="e">
        <f t="shared" si="137"/>
        <v>#N/A</v>
      </c>
      <c r="GZ168" s="57" t="e">
        <f ca="1">AVERAGE(OFFSET($GY$3,0,0,'Données projet'!$E$18+1,1))-AVERAGE(OFFSET($H$3,0,0,'Données projet'!$E$18+1,1))</f>
        <v>#N/A</v>
      </c>
      <c r="HA168" s="57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0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4">
        <f t="shared" si="110"/>
        <v>256.66666666666669</v>
      </c>
      <c r="I169" s="6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636.99999999999977</v>
      </c>
      <c r="O169" s="13">
        <f>N169*VLOOKUP('Données projet'!$B$9,Paramètres!$A$1:$I$89,3,0)*VLOOKUP('Données projet'!$B$9,Paramètres!$A$1:$I$89,5,0)</f>
        <v>356.08299999999991</v>
      </c>
      <c r="P169" s="13">
        <f t="shared" si="141"/>
        <v>82.813805255716545</v>
      </c>
      <c r="Q169" s="20">
        <f t="shared" si="162"/>
        <v>764.41193582037283</v>
      </c>
      <c r="R169" s="57">
        <f t="shared" si="109"/>
        <v>1057.7452691537062</v>
      </c>
      <c r="S169" s="57">
        <f ca="1">AVERAGE(OFFSET($R$3,0,0,'Données projet'!$E$9+1,1))-AVERAGE(OFFSET($H$3,0,0,'Données projet'!$E$9+1,1))</f>
        <v>443.34220761968419</v>
      </c>
      <c r="T169" s="57">
        <f t="shared" si="142"/>
        <v>546.58234447298014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11.976772851345563</v>
      </c>
      <c r="AA169" s="21">
        <f>EXP(-LN(2)/25)*AA168+(1-EXP(-LN(2)/25))/(LN(2)/25)*Calculateur!V169*Calculateur!X169*VLOOKUP('Données projet'!$B$9,Paramètres!$A$1:$I$89,3,0)*0.475*44/12</f>
        <v>0.50533581466923427</v>
      </c>
      <c r="AB169" s="21">
        <f>EXP(-LN(2)/2)*AB168+(1-EXP(-LN(2)/2))/(LN(2)/2)*V169*Y169*VLOOKUP('Données projet'!$B$9,Paramètres!$A$1:$I$89,3,0)*0.475*44/12</f>
        <v>2.047040393890939E-20</v>
      </c>
      <c r="AC169" s="22">
        <f t="shared" si="163"/>
        <v>12.482108666014797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911.99999999999898</v>
      </c>
      <c r="AJ169" s="13">
        <f>AI169*VLOOKUP('Données projet'!$B$10,Paramètres!$A$1:$I$89,3,0)*VLOOKUP('Données projet'!$B$10,Paramètres!$A$1:$I$89,5,0)</f>
        <v>426.81599999999946</v>
      </c>
      <c r="AK169" s="13">
        <f t="shared" si="164"/>
        <v>97.192496986872399</v>
      </c>
      <c r="AL169" s="20">
        <f t="shared" si="165"/>
        <v>912.64813225213504</v>
      </c>
      <c r="AM169" s="57">
        <f t="shared" si="113"/>
        <v>1205.9814655854684</v>
      </c>
      <c r="AN169" s="57">
        <f ca="1">AVERAGE(OFFSET($AM$3,0,0,'Données projet'!$E$10+1,1))-AVERAGE(OFFSET($H$3,0,0,'Données projet'!$E$10+1,1))</f>
        <v>524.3999528951972</v>
      </c>
      <c r="AO169" s="57">
        <f t="shared" si="144"/>
        <v>459.3547783500515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27.06574093041824</v>
      </c>
      <c r="AV169" s="21">
        <f>EXP(-LN(2)/25)*AV168+(1-EXP(-LN(2)/25))/(LN(2)/25)*Calculateur!AQ169*Calculateur!AS169*VLOOKUP('Données projet'!$B$10,Paramètres!$A$1:$I$89,3,0)*0.475*44/12</f>
        <v>1.2310313208339894</v>
      </c>
      <c r="AW169" s="21">
        <f>EXP(-LN(2)/2)*AW168+(1-EXP(-LN(2)/2))/(LN(2)/2)*AQ169*AT169*VLOOKUP('Données projet'!$B$10,Paramètres!$A$1:$I$89,3,0)*0.475*44/12</f>
        <v>4.0394683085108745E-21</v>
      </c>
      <c r="AX169" s="21">
        <f t="shared" si="166"/>
        <v>28.296772251252229</v>
      </c>
      <c r="AY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852.00000000000011</v>
      </c>
      <c r="BE169" s="13">
        <f>BD169*VLOOKUP('Données projet'!$B$11,Paramètres!$A$1:$I$89,3,0)*VLOOKUP('Données projet'!$B$11,Paramètres!$A$1:$I$89,5,0)</f>
        <v>409.81200000000013</v>
      </c>
      <c r="BF169" s="13">
        <f t="shared" si="167"/>
        <v>93.76308331402879</v>
      </c>
      <c r="BG169" s="20">
        <f t="shared" si="168"/>
        <v>877.05993677193362</v>
      </c>
      <c r="BH169" s="57">
        <f t="shared" si="116"/>
        <v>1170.393270105267</v>
      </c>
      <c r="BI169" s="57">
        <f ca="1">AVERAGE(OFFSET($BH$3,0,0,'Données projet'!$E$11+1,1))-AVERAGE(OFFSET($H$3,0,0,'Données projet'!$E$11+1,1))</f>
        <v>495.6473104257044</v>
      </c>
      <c r="BJ169" s="57">
        <f t="shared" si="146"/>
        <v>430.92527296485201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28.195867468937379</v>
      </c>
      <c r="BQ169" s="21">
        <f>EXP(-LN(2)/25)*BQ168+(1-EXP(-LN(2)/25))/(LN(2)/25)*Calculateur!BL169*Calculateur!BN169*VLOOKUP('Données projet'!$B$11,Paramètres!$A$1:$I$89,3,0)*0.475*44/12</f>
        <v>1.1597910823597986</v>
      </c>
      <c r="BR169" s="21">
        <f>EXP(-LN(2)/2)*BR168+(1-EXP(-LN(2)/2))/(LN(2)/2)*BL169*BO169*VLOOKUP('Données projet'!$B$11,Paramètres!$A$1:$I$89,3,0)*0.475*44/12</f>
        <v>2.4794730242441367E-21</v>
      </c>
      <c r="BS169" s="22">
        <f t="shared" si="169"/>
        <v>29.355658551297179</v>
      </c>
      <c r="BT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7" t="e">
        <f t="shared" si="119"/>
        <v>#NUM!</v>
      </c>
      <c r="CD169" s="57">
        <f ca="1">AVERAGE(OFFSET($CC$3,0,0,'Données projet'!$E$12+1,1))-AVERAGE(OFFSET($H$3,0,0,'Données projet'!$E$12+1,1))</f>
        <v>187.80389738728508</v>
      </c>
      <c r="CE169" s="57">
        <f t="shared" si="148"/>
        <v>439.28159165815265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8.3557432051658402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4.1813584587242623E-21</v>
      </c>
      <c r="CN169" s="22">
        <f t="shared" si="172"/>
        <v>8.3557432051658402</v>
      </c>
      <c r="CO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267</v>
      </c>
      <c r="CU169" s="17">
        <f>CT169*VLOOKUP('Données projet'!$B$13,Paramètres!$A$1:$I$89,3,0)*VLOOKUP('Données projet'!$B$13,Paramètres!$A$1:$I$89,5,0)</f>
        <v>241.58159999999998</v>
      </c>
      <c r="CV169" s="13">
        <f t="shared" si="173"/>
        <v>58.779689232021951</v>
      </c>
      <c r="CW169" s="20">
        <f t="shared" si="174"/>
        <v>523.12924541243819</v>
      </c>
      <c r="CX169" s="57">
        <f t="shared" si="122"/>
        <v>816.46257874577145</v>
      </c>
      <c r="CY169" s="57">
        <f ca="1">AVERAGE(OFFSET($CX$3,0,0,'Données projet'!$E$13+1,1))-AVERAGE(OFFSET($H$3,0,0,'Données projet'!$E$13+1,1))</f>
        <v>364.3481978218424</v>
      </c>
      <c r="CZ169" s="57">
        <f t="shared" si="150"/>
        <v>231.36959598460686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27.529622729745594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27.529622729745594</v>
      </c>
      <c r="DJ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255.00000000000006</v>
      </c>
      <c r="DP169" s="17">
        <f>DO169*VLOOKUP('Données projet'!$B$14,Paramètres!$A$1:$I$89,3,0)*VLOOKUP('Données projet'!$B$14,Paramètres!$A$1:$I$89,5,0)</f>
        <v>186.96600000000004</v>
      </c>
      <c r="DQ169" s="13">
        <f t="shared" si="176"/>
        <v>46.868551400324648</v>
      </c>
      <c r="DR169" s="20">
        <f t="shared" si="177"/>
        <v>407.26184368889881</v>
      </c>
      <c r="DS169" s="57">
        <f t="shared" si="125"/>
        <v>700.59517702223206</v>
      </c>
      <c r="DT169" s="57">
        <f ca="1">AVERAGE(OFFSET($DS$3,0,0,'Données projet'!$E$14+1,1))-AVERAGE(OFFSET($H$3,0,0,'Données projet'!$E$14+1,1))</f>
        <v>239.25212250019609</v>
      </c>
      <c r="DU169" s="57">
        <f t="shared" si="152"/>
        <v>213.58492101729695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403.99999999999994</v>
      </c>
      <c r="EK169" s="17">
        <f>EJ169*VLOOKUP('Données projet'!$B$15,Paramètres!$A$1:$I$89,3,0)*VLOOKUP('Données projet'!$B$15,Paramètres!$A$1:$I$89,5,0)</f>
        <v>346.63200000000001</v>
      </c>
      <c r="EL169" s="13">
        <f t="shared" si="179"/>
        <v>80.868615263336864</v>
      </c>
      <c r="EM169" s="20">
        <f t="shared" si="180"/>
        <v>744.56357158364483</v>
      </c>
      <c r="EN169" s="57">
        <f t="shared" si="128"/>
        <v>1037.8969049169782</v>
      </c>
      <c r="EO169" s="57">
        <f ca="1">AVERAGE(OFFSET($EN$3,0,0,'Données projet'!$E$15+1,1))-AVERAGE(OFFSET($H$3,0,0,'Données projet'!$E$15+1,1))</f>
        <v>447.10969593632467</v>
      </c>
      <c r="EP169" s="57">
        <f t="shared" si="154"/>
        <v>256.77417912163997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40.01155490896673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40.01155490896673</v>
      </c>
      <c r="EZ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7" t="e">
        <f t="shared" si="131"/>
        <v>#N/A</v>
      </c>
      <c r="FJ169" s="57" t="e">
        <f ca="1">AVERAGE(OFFSET($FI$3,0,0,'Données projet'!$E$16+1,1))-AVERAGE(OFFSET($H$3,0,0,'Données projet'!$E$16+1,1))</f>
        <v>#N/A</v>
      </c>
      <c r="FK169" s="57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7" t="e">
        <f t="shared" si="134"/>
        <v>#N/A</v>
      </c>
      <c r="GE169" s="57" t="e">
        <f ca="1">AVERAGE(OFFSET($GD$3,0,0,'Données projet'!$E$17+1,1))-AVERAGE(OFFSET($H$3,0,0,'Données projet'!$E$17+1,1))</f>
        <v>#N/A</v>
      </c>
      <c r="GF169" s="57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7" t="e">
        <f t="shared" si="137"/>
        <v>#N/A</v>
      </c>
      <c r="GZ169" s="57" t="e">
        <f ca="1">AVERAGE(OFFSET($GY$3,0,0,'Données projet'!$E$18+1,1))-AVERAGE(OFFSET($H$3,0,0,'Données projet'!$E$18+1,1))</f>
        <v>#N/A</v>
      </c>
      <c r="HA169" s="57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0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4">
        <f t="shared" si="110"/>
        <v>256.66666666666669</v>
      </c>
      <c r="I170" s="6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636.99999999999977</v>
      </c>
      <c r="O170" s="13">
        <f>N170*VLOOKUP('Données projet'!$B$9,Paramètres!$A$1:$I$89,3,0)*VLOOKUP('Données projet'!$B$9,Paramètres!$A$1:$I$89,5,0)</f>
        <v>356.08299999999991</v>
      </c>
      <c r="P170" s="13">
        <f t="shared" si="141"/>
        <v>82.813805255716545</v>
      </c>
      <c r="Q170" s="20">
        <f t="shared" si="162"/>
        <v>764.41193582037283</v>
      </c>
      <c r="R170" s="57">
        <f t="shared" si="109"/>
        <v>1057.7452691537062</v>
      </c>
      <c r="S170" s="57">
        <f ca="1">AVERAGE(OFFSET($R$3,0,0,'Données projet'!$E$9+1,1))-AVERAGE(OFFSET($H$3,0,0,'Données projet'!$E$9+1,1))</f>
        <v>443.34220761968419</v>
      </c>
      <c r="T170" s="57">
        <f t="shared" si="142"/>
        <v>546.58234447298014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11.741915640840796</v>
      </c>
      <c r="AA170" s="21">
        <f>EXP(-LN(2)/25)*AA169+(1-EXP(-LN(2)/25))/(LN(2)/25)*Calculateur!V170*Calculateur!X170*VLOOKUP('Données projet'!$B$9,Paramètres!$A$1:$I$89,3,0)*0.475*44/12</f>
        <v>0.49151738024264852</v>
      </c>
      <c r="AB170" s="21">
        <f>EXP(-LN(2)/2)*AB169+(1-EXP(-LN(2)/2))/(LN(2)/2)*V170*Y170*VLOOKUP('Données projet'!$B$9,Paramètres!$A$1:$I$89,3,0)*0.475*44/12</f>
        <v>1.4474761438830642E-20</v>
      </c>
      <c r="AC170" s="22">
        <f t="shared" si="163"/>
        <v>12.233433021083444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911.99999999999898</v>
      </c>
      <c r="AJ170" s="13">
        <f>AI170*VLOOKUP('Données projet'!$B$10,Paramètres!$A$1:$I$89,3,0)*VLOOKUP('Données projet'!$B$10,Paramètres!$A$1:$I$89,5,0)</f>
        <v>426.81599999999946</v>
      </c>
      <c r="AK170" s="13">
        <f t="shared" si="164"/>
        <v>97.192496986872399</v>
      </c>
      <c r="AL170" s="20">
        <f t="shared" si="165"/>
        <v>912.64813225213504</v>
      </c>
      <c r="AM170" s="57">
        <f t="shared" si="113"/>
        <v>1205.9814655854684</v>
      </c>
      <c r="AN170" s="57">
        <f ca="1">AVERAGE(OFFSET($AM$3,0,0,'Données projet'!$E$10+1,1))-AVERAGE(OFFSET($H$3,0,0,'Données projet'!$E$10+1,1))</f>
        <v>524.3999528951972</v>
      </c>
      <c r="AO170" s="57">
        <f t="shared" si="144"/>
        <v>459.3547783500515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26.534998259244631</v>
      </c>
      <c r="AV170" s="21">
        <f>EXP(-LN(2)/25)*AV169+(1-EXP(-LN(2)/25))/(LN(2)/25)*Calculateur!AQ170*Calculateur!AS170*VLOOKUP('Données projet'!$B$10,Paramètres!$A$1:$I$89,3,0)*0.475*44/12</f>
        <v>1.1973687046286603</v>
      </c>
      <c r="AW170" s="21">
        <f>EXP(-LN(2)/2)*AW169+(1-EXP(-LN(2)/2))/(LN(2)/2)*AQ170*AT170*VLOOKUP('Données projet'!$B$10,Paramètres!$A$1:$I$89,3,0)*0.475*44/12</f>
        <v>2.8563354333361922E-21</v>
      </c>
      <c r="AX170" s="21">
        <f t="shared" si="166"/>
        <v>27.732366963873289</v>
      </c>
      <c r="AY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852.00000000000011</v>
      </c>
      <c r="BE170" s="13">
        <f>BD170*VLOOKUP('Données projet'!$B$11,Paramètres!$A$1:$I$89,3,0)*VLOOKUP('Données projet'!$B$11,Paramètres!$A$1:$I$89,5,0)</f>
        <v>409.81200000000013</v>
      </c>
      <c r="BF170" s="13">
        <f t="shared" si="167"/>
        <v>93.76308331402879</v>
      </c>
      <c r="BG170" s="20">
        <f t="shared" si="168"/>
        <v>877.05993677193362</v>
      </c>
      <c r="BH170" s="57">
        <f t="shared" si="116"/>
        <v>1170.393270105267</v>
      </c>
      <c r="BI170" s="57">
        <f ca="1">AVERAGE(OFFSET($BH$3,0,0,'Données projet'!$E$11+1,1))-AVERAGE(OFFSET($H$3,0,0,'Données projet'!$E$11+1,1))</f>
        <v>495.6473104257044</v>
      </c>
      <c r="BJ170" s="57">
        <f t="shared" si="146"/>
        <v>430.92527296485201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27.642963705652534</v>
      </c>
      <c r="BQ170" s="21">
        <f>EXP(-LN(2)/25)*BQ169+(1-EXP(-LN(2)/25))/(LN(2)/25)*Calculateur!BL170*Calculateur!BN170*VLOOKUP('Données projet'!$B$11,Paramètres!$A$1:$I$89,3,0)*0.475*44/12</f>
        <v>1.1280765342219077</v>
      </c>
      <c r="BR170" s="21">
        <f>EXP(-LN(2)/2)*BR169+(1-EXP(-LN(2)/2))/(LN(2)/2)*BL170*BO170*VLOOKUP('Données projet'!$B$11,Paramètres!$A$1:$I$89,3,0)*0.475*44/12</f>
        <v>1.7532521892121461E-21</v>
      </c>
      <c r="BS170" s="22">
        <f t="shared" si="169"/>
        <v>28.771040239874441</v>
      </c>
      <c r="BT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7" t="e">
        <f t="shared" si="119"/>
        <v>#NUM!</v>
      </c>
      <c r="CD170" s="57">
        <f ca="1">AVERAGE(OFFSET($CC$3,0,0,'Données projet'!$E$12+1,1))-AVERAGE(OFFSET($H$3,0,0,'Données projet'!$E$12+1,1))</f>
        <v>187.80389738728508</v>
      </c>
      <c r="CE170" s="57">
        <f t="shared" si="148"/>
        <v>439.28159165815265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8.1918921774126563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2.9566669207356566E-21</v>
      </c>
      <c r="CN170" s="22">
        <f t="shared" si="172"/>
        <v>8.1918921774126563</v>
      </c>
      <c r="CO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267</v>
      </c>
      <c r="CU170" s="17">
        <f>CT170*VLOOKUP('Données projet'!$B$13,Paramètres!$A$1:$I$89,3,0)*VLOOKUP('Données projet'!$B$13,Paramètres!$A$1:$I$89,5,0)</f>
        <v>241.58159999999998</v>
      </c>
      <c r="CV170" s="13">
        <f t="shared" si="173"/>
        <v>58.779689232021951</v>
      </c>
      <c r="CW170" s="20">
        <f t="shared" si="174"/>
        <v>523.12924541243819</v>
      </c>
      <c r="CX170" s="57">
        <f t="shared" si="122"/>
        <v>816.46257874577145</v>
      </c>
      <c r="CY170" s="57">
        <f ca="1">AVERAGE(OFFSET($CX$3,0,0,'Données projet'!$E$13+1,1))-AVERAGE(OFFSET($H$3,0,0,'Données projet'!$E$13+1,1))</f>
        <v>364.3481978218424</v>
      </c>
      <c r="CZ170" s="57">
        <f t="shared" si="150"/>
        <v>231.36959598460686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26.989783619427133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26.989783619427133</v>
      </c>
      <c r="DJ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255.00000000000006</v>
      </c>
      <c r="DP170" s="17">
        <f>DO170*VLOOKUP('Données projet'!$B$14,Paramètres!$A$1:$I$89,3,0)*VLOOKUP('Données projet'!$B$14,Paramètres!$A$1:$I$89,5,0)</f>
        <v>186.96600000000004</v>
      </c>
      <c r="DQ170" s="13">
        <f t="shared" si="176"/>
        <v>46.868551400324648</v>
      </c>
      <c r="DR170" s="20">
        <f t="shared" si="177"/>
        <v>407.26184368889881</v>
      </c>
      <c r="DS170" s="57">
        <f t="shared" si="125"/>
        <v>700.59517702223206</v>
      </c>
      <c r="DT170" s="57">
        <f ca="1">AVERAGE(OFFSET($DS$3,0,0,'Données projet'!$E$14+1,1))-AVERAGE(OFFSET($H$3,0,0,'Données projet'!$E$14+1,1))</f>
        <v>239.25212250019609</v>
      </c>
      <c r="DU170" s="57">
        <f t="shared" si="152"/>
        <v>213.58492101729695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403.99999999999994</v>
      </c>
      <c r="EK170" s="17">
        <f>EJ170*VLOOKUP('Données projet'!$B$15,Paramètres!$A$1:$I$89,3,0)*VLOOKUP('Données projet'!$B$15,Paramètres!$A$1:$I$89,5,0)</f>
        <v>346.63200000000001</v>
      </c>
      <c r="EL170" s="13">
        <f t="shared" si="179"/>
        <v>80.868615263336864</v>
      </c>
      <c r="EM170" s="20">
        <f t="shared" si="180"/>
        <v>744.56357158364483</v>
      </c>
      <c r="EN170" s="57">
        <f t="shared" si="128"/>
        <v>1037.8969049169782</v>
      </c>
      <c r="EO170" s="57">
        <f ca="1">AVERAGE(OFFSET($EN$3,0,0,'Données projet'!$E$15+1,1))-AVERAGE(OFFSET($H$3,0,0,'Données projet'!$E$15+1,1))</f>
        <v>447.10969593632467</v>
      </c>
      <c r="EP170" s="57">
        <f t="shared" si="154"/>
        <v>256.77417912163997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39.226952721840625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39.226952721840625</v>
      </c>
      <c r="EZ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7" t="e">
        <f t="shared" si="131"/>
        <v>#N/A</v>
      </c>
      <c r="FJ170" s="57" t="e">
        <f ca="1">AVERAGE(OFFSET($FI$3,0,0,'Données projet'!$E$16+1,1))-AVERAGE(OFFSET($H$3,0,0,'Données projet'!$E$16+1,1))</f>
        <v>#N/A</v>
      </c>
      <c r="FK170" s="57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7" t="e">
        <f t="shared" si="134"/>
        <v>#N/A</v>
      </c>
      <c r="GE170" s="57" t="e">
        <f ca="1">AVERAGE(OFFSET($GD$3,0,0,'Données projet'!$E$17+1,1))-AVERAGE(OFFSET($H$3,0,0,'Données projet'!$E$17+1,1))</f>
        <v>#N/A</v>
      </c>
      <c r="GF170" s="57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7" t="e">
        <f t="shared" si="137"/>
        <v>#N/A</v>
      </c>
      <c r="GZ170" s="57" t="e">
        <f ca="1">AVERAGE(OFFSET($GY$3,0,0,'Données projet'!$E$18+1,1))-AVERAGE(OFFSET($H$3,0,0,'Données projet'!$E$18+1,1))</f>
        <v>#N/A</v>
      </c>
      <c r="HA170" s="57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0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4">
        <f t="shared" si="110"/>
        <v>256.66666666666669</v>
      </c>
      <c r="I171" s="6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636.99999999999977</v>
      </c>
      <c r="O171" s="13">
        <f>N171*VLOOKUP('Données projet'!$B$9,Paramètres!$A$1:$I$89,3,0)*VLOOKUP('Données projet'!$B$9,Paramètres!$A$1:$I$89,5,0)</f>
        <v>356.08299999999991</v>
      </c>
      <c r="P171" s="13">
        <f t="shared" si="141"/>
        <v>82.813805255716545</v>
      </c>
      <c r="Q171" s="20">
        <f t="shared" si="162"/>
        <v>764.41193582037283</v>
      </c>
      <c r="R171" s="57">
        <f t="shared" si="109"/>
        <v>1057.7452691537062</v>
      </c>
      <c r="S171" s="57">
        <f ca="1">AVERAGE(OFFSET($R$3,0,0,'Données projet'!$E$9+1,1))-AVERAGE(OFFSET($H$3,0,0,'Données projet'!$E$9+1,1))</f>
        <v>443.34220761968419</v>
      </c>
      <c r="T171" s="57">
        <f t="shared" si="142"/>
        <v>546.58234447298014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11.511663836985274</v>
      </c>
      <c r="AA171" s="21">
        <f>EXP(-LN(2)/25)*AA170+(1-EXP(-LN(2)/25))/(LN(2)/25)*Calculateur!V171*Calculateur!X171*VLOOKUP('Données projet'!$B$9,Paramètres!$A$1:$I$89,3,0)*0.475*44/12</f>
        <v>0.47807681163213767</v>
      </c>
      <c r="AB171" s="21">
        <f>EXP(-LN(2)/2)*AB170+(1-EXP(-LN(2)/2))/(LN(2)/2)*V171*Y171*VLOOKUP('Données projet'!$B$9,Paramètres!$A$1:$I$89,3,0)*0.475*44/12</f>
        <v>1.0235201969454695E-20</v>
      </c>
      <c r="AC171" s="22">
        <f t="shared" si="163"/>
        <v>11.989740648617412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911.99999999999898</v>
      </c>
      <c r="AJ171" s="13">
        <f>AI171*VLOOKUP('Données projet'!$B$10,Paramètres!$A$1:$I$89,3,0)*VLOOKUP('Données projet'!$B$10,Paramètres!$A$1:$I$89,5,0)</f>
        <v>426.81599999999946</v>
      </c>
      <c r="AK171" s="13">
        <f t="shared" si="164"/>
        <v>97.192496986872399</v>
      </c>
      <c r="AL171" s="20">
        <f t="shared" si="165"/>
        <v>912.64813225213504</v>
      </c>
      <c r="AM171" s="57">
        <f t="shared" si="113"/>
        <v>1205.9814655854684</v>
      </c>
      <c r="AN171" s="57">
        <f ca="1">AVERAGE(OFFSET($AM$3,0,0,'Données projet'!$E$10+1,1))-AVERAGE(OFFSET($H$3,0,0,'Données projet'!$E$10+1,1))</f>
        <v>524.3999528951972</v>
      </c>
      <c r="AO171" s="57">
        <f t="shared" si="144"/>
        <v>459.3547783500515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26.014663128131669</v>
      </c>
      <c r="AV171" s="21">
        <f>EXP(-LN(2)/25)*AV170+(1-EXP(-LN(2)/25))/(LN(2)/25)*Calculateur!AQ171*Calculateur!AS171*VLOOKUP('Données projet'!$B$10,Paramètres!$A$1:$I$89,3,0)*0.475*44/12</f>
        <v>1.164626594433706</v>
      </c>
      <c r="AW171" s="21">
        <f>EXP(-LN(2)/2)*AW170+(1-EXP(-LN(2)/2))/(LN(2)/2)*AQ171*AT171*VLOOKUP('Données projet'!$B$10,Paramètres!$A$1:$I$89,3,0)*0.475*44/12</f>
        <v>2.0197341542554373E-21</v>
      </c>
      <c r="AX171" s="21">
        <f t="shared" si="166"/>
        <v>27.179289722565375</v>
      </c>
      <c r="AY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852.00000000000011</v>
      </c>
      <c r="BE171" s="13">
        <f>BD171*VLOOKUP('Données projet'!$B$11,Paramètres!$A$1:$I$89,3,0)*VLOOKUP('Données projet'!$B$11,Paramètres!$A$1:$I$89,5,0)</f>
        <v>409.81200000000013</v>
      </c>
      <c r="BF171" s="13">
        <f t="shared" si="167"/>
        <v>93.76308331402879</v>
      </c>
      <c r="BG171" s="20">
        <f t="shared" si="168"/>
        <v>877.05993677193362</v>
      </c>
      <c r="BH171" s="57">
        <f t="shared" si="116"/>
        <v>1170.393270105267</v>
      </c>
      <c r="BI171" s="57">
        <f ca="1">AVERAGE(OFFSET($BH$3,0,0,'Données projet'!$E$11+1,1))-AVERAGE(OFFSET($H$3,0,0,'Données projet'!$E$11+1,1))</f>
        <v>495.6473104257044</v>
      </c>
      <c r="BJ171" s="57">
        <f t="shared" si="146"/>
        <v>430.92527296485201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27.100902047927708</v>
      </c>
      <c r="BQ171" s="21">
        <f>EXP(-LN(2)/25)*BQ170+(1-EXP(-LN(2)/25))/(LN(2)/25)*Calculateur!BL171*Calculateur!BN171*VLOOKUP('Données projet'!$B$11,Paramètres!$A$1:$I$89,3,0)*0.475*44/12</f>
        <v>1.097229222070643</v>
      </c>
      <c r="BR171" s="21">
        <f>EXP(-LN(2)/2)*BR170+(1-EXP(-LN(2)/2))/(LN(2)/2)*BL171*BO171*VLOOKUP('Données projet'!$B$11,Paramètres!$A$1:$I$89,3,0)*0.475*44/12</f>
        <v>1.2397365121220684E-21</v>
      </c>
      <c r="BS171" s="22">
        <f t="shared" si="169"/>
        <v>28.198131269998349</v>
      </c>
      <c r="BT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7" t="e">
        <f t="shared" si="119"/>
        <v>#NUM!</v>
      </c>
      <c r="CD171" s="57">
        <f ca="1">AVERAGE(OFFSET($CC$3,0,0,'Données projet'!$E$12+1,1))-AVERAGE(OFFSET($H$3,0,0,'Données projet'!$E$12+1,1))</f>
        <v>187.80389738728508</v>
      </c>
      <c r="CE171" s="57">
        <f t="shared" si="148"/>
        <v>439.28159165815265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8.0312541683744527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2.0906792293621311E-21</v>
      </c>
      <c r="CN171" s="22">
        <f t="shared" si="172"/>
        <v>8.0312541683744527</v>
      </c>
      <c r="CO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267</v>
      </c>
      <c r="CU171" s="17">
        <f>CT171*VLOOKUP('Données projet'!$B$13,Paramètres!$A$1:$I$89,3,0)*VLOOKUP('Données projet'!$B$13,Paramètres!$A$1:$I$89,5,0)</f>
        <v>241.58159999999998</v>
      </c>
      <c r="CV171" s="13">
        <f t="shared" si="173"/>
        <v>58.779689232021951</v>
      </c>
      <c r="CW171" s="20">
        <f t="shared" si="174"/>
        <v>523.12924541243819</v>
      </c>
      <c r="CX171" s="57">
        <f t="shared" si="122"/>
        <v>816.46257874577145</v>
      </c>
      <c r="CY171" s="57">
        <f ca="1">AVERAGE(OFFSET($CX$3,0,0,'Données projet'!$E$13+1,1))-AVERAGE(OFFSET($H$3,0,0,'Données projet'!$E$13+1,1))</f>
        <v>364.3481978218424</v>
      </c>
      <c r="CZ171" s="57">
        <f t="shared" si="150"/>
        <v>231.36959598460686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26.460530424792672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26.460530424792672</v>
      </c>
      <c r="DJ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255.00000000000006</v>
      </c>
      <c r="DP171" s="17">
        <f>DO171*VLOOKUP('Données projet'!$B$14,Paramètres!$A$1:$I$89,3,0)*VLOOKUP('Données projet'!$B$14,Paramètres!$A$1:$I$89,5,0)</f>
        <v>186.96600000000004</v>
      </c>
      <c r="DQ171" s="13">
        <f t="shared" si="176"/>
        <v>46.868551400324648</v>
      </c>
      <c r="DR171" s="20">
        <f t="shared" si="177"/>
        <v>407.26184368889881</v>
      </c>
      <c r="DS171" s="57">
        <f t="shared" si="125"/>
        <v>700.59517702223206</v>
      </c>
      <c r="DT171" s="57">
        <f ca="1">AVERAGE(OFFSET($DS$3,0,0,'Données projet'!$E$14+1,1))-AVERAGE(OFFSET($H$3,0,0,'Données projet'!$E$14+1,1))</f>
        <v>239.25212250019609</v>
      </c>
      <c r="DU171" s="57">
        <f t="shared" si="152"/>
        <v>213.58492101729695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403.99999999999994</v>
      </c>
      <c r="EK171" s="17">
        <f>EJ171*VLOOKUP('Données projet'!$B$15,Paramètres!$A$1:$I$89,3,0)*VLOOKUP('Données projet'!$B$15,Paramètres!$A$1:$I$89,5,0)</f>
        <v>346.63200000000001</v>
      </c>
      <c r="EL171" s="13">
        <f t="shared" si="179"/>
        <v>80.868615263336864</v>
      </c>
      <c r="EM171" s="20">
        <f t="shared" si="180"/>
        <v>744.56357158364483</v>
      </c>
      <c r="EN171" s="57">
        <f t="shared" si="128"/>
        <v>1037.8969049169782</v>
      </c>
      <c r="EO171" s="57">
        <f ca="1">AVERAGE(OFFSET($EN$3,0,0,'Données projet'!$E$15+1,1))-AVERAGE(OFFSET($H$3,0,0,'Données projet'!$E$15+1,1))</f>
        <v>447.10969593632467</v>
      </c>
      <c r="EP171" s="57">
        <f t="shared" si="154"/>
        <v>256.77417912163997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38.457736105043985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38.457736105043985</v>
      </c>
      <c r="EZ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7" t="e">
        <f t="shared" si="131"/>
        <v>#N/A</v>
      </c>
      <c r="FJ171" s="57" t="e">
        <f ca="1">AVERAGE(OFFSET($FI$3,0,0,'Données projet'!$E$16+1,1))-AVERAGE(OFFSET($H$3,0,0,'Données projet'!$E$16+1,1))</f>
        <v>#N/A</v>
      </c>
      <c r="FK171" s="57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7" t="e">
        <f t="shared" si="134"/>
        <v>#N/A</v>
      </c>
      <c r="GE171" s="57" t="e">
        <f ca="1">AVERAGE(OFFSET($GD$3,0,0,'Données projet'!$E$17+1,1))-AVERAGE(OFFSET($H$3,0,0,'Données projet'!$E$17+1,1))</f>
        <v>#N/A</v>
      </c>
      <c r="GF171" s="57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7" t="e">
        <f t="shared" si="137"/>
        <v>#N/A</v>
      </c>
      <c r="GZ171" s="57" t="e">
        <f ca="1">AVERAGE(OFFSET($GY$3,0,0,'Données projet'!$E$18+1,1))-AVERAGE(OFFSET($H$3,0,0,'Données projet'!$E$18+1,1))</f>
        <v>#N/A</v>
      </c>
      <c r="HA171" s="57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0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4">
        <f t="shared" si="110"/>
        <v>256.66666666666669</v>
      </c>
      <c r="I172" s="6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636.99999999999977</v>
      </c>
      <c r="O172" s="13">
        <f>N172*VLOOKUP('Données projet'!$B$9,Paramètres!$A$1:$I$89,3,0)*VLOOKUP('Données projet'!$B$9,Paramètres!$A$1:$I$89,5,0)</f>
        <v>356.08299999999991</v>
      </c>
      <c r="P172" s="13">
        <f t="shared" si="141"/>
        <v>82.813805255716545</v>
      </c>
      <c r="Q172" s="20">
        <f t="shared" si="162"/>
        <v>764.41193582037283</v>
      </c>
      <c r="R172" s="57">
        <f t="shared" si="109"/>
        <v>1057.7452691537062</v>
      </c>
      <c r="S172" s="57">
        <f ca="1">AVERAGE(OFFSET($R$3,0,0,'Données projet'!$E$9+1,1))-AVERAGE(OFFSET($H$3,0,0,'Données projet'!$E$9+1,1))</f>
        <v>443.34220761968419</v>
      </c>
      <c r="T172" s="57">
        <f t="shared" si="142"/>
        <v>546.58234447298014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11.285927130563627</v>
      </c>
      <c r="AA172" s="21">
        <f>EXP(-LN(2)/25)*AA171+(1-EXP(-LN(2)/25))/(LN(2)/25)*Calculateur!V172*Calculateur!X172*VLOOKUP('Données projet'!$B$9,Paramètres!$A$1:$I$89,3,0)*0.475*44/12</f>
        <v>0.46500377607708998</v>
      </c>
      <c r="AB172" s="21">
        <f>EXP(-LN(2)/2)*AB171+(1-EXP(-LN(2)/2))/(LN(2)/2)*V172*Y172*VLOOKUP('Données projet'!$B$9,Paramètres!$A$1:$I$89,3,0)*0.475*44/12</f>
        <v>7.2373807194153212E-21</v>
      </c>
      <c r="AC172" s="22">
        <f t="shared" si="163"/>
        <v>11.750930906640717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911.99999999999898</v>
      </c>
      <c r="AJ172" s="13">
        <f>AI172*VLOOKUP('Données projet'!$B$10,Paramètres!$A$1:$I$89,3,0)*VLOOKUP('Données projet'!$B$10,Paramètres!$A$1:$I$89,5,0)</f>
        <v>426.81599999999946</v>
      </c>
      <c r="AK172" s="13">
        <f t="shared" si="164"/>
        <v>97.192496986872399</v>
      </c>
      <c r="AL172" s="20">
        <f t="shared" si="165"/>
        <v>912.64813225213504</v>
      </c>
      <c r="AM172" s="57">
        <f t="shared" si="113"/>
        <v>1205.9814655854684</v>
      </c>
      <c r="AN172" s="57">
        <f ca="1">AVERAGE(OFFSET($AM$3,0,0,'Données projet'!$E$10+1,1))-AVERAGE(OFFSET($H$3,0,0,'Données projet'!$E$10+1,1))</f>
        <v>524.3999528951972</v>
      </c>
      <c r="AO172" s="57">
        <f t="shared" si="144"/>
        <v>459.3547783500515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25.504531451566741</v>
      </c>
      <c r="AV172" s="21">
        <f>EXP(-LN(2)/25)*AV171+(1-EXP(-LN(2)/25))/(LN(2)/25)*Calculateur!AQ172*Calculateur!AS172*VLOOKUP('Données projet'!$B$10,Paramètres!$A$1:$I$89,3,0)*0.475*44/12</f>
        <v>1.1327798189638654</v>
      </c>
      <c r="AW172" s="21">
        <f>EXP(-LN(2)/2)*AW171+(1-EXP(-LN(2)/2))/(LN(2)/2)*AQ172*AT172*VLOOKUP('Données projet'!$B$10,Paramètres!$A$1:$I$89,3,0)*0.475*44/12</f>
        <v>1.4281677166680961E-21</v>
      </c>
      <c r="AX172" s="21">
        <f t="shared" si="166"/>
        <v>26.637311270530606</v>
      </c>
      <c r="AY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852.00000000000011</v>
      </c>
      <c r="BE172" s="13">
        <f>BD172*VLOOKUP('Données projet'!$B$11,Paramètres!$A$1:$I$89,3,0)*VLOOKUP('Données projet'!$B$11,Paramètres!$A$1:$I$89,5,0)</f>
        <v>409.81200000000013</v>
      </c>
      <c r="BF172" s="13">
        <f t="shared" si="167"/>
        <v>93.76308331402879</v>
      </c>
      <c r="BG172" s="20">
        <f t="shared" si="168"/>
        <v>877.05993677193362</v>
      </c>
      <c r="BH172" s="57">
        <f t="shared" si="116"/>
        <v>1170.393270105267</v>
      </c>
      <c r="BI172" s="57">
        <f ca="1">AVERAGE(OFFSET($BH$3,0,0,'Données projet'!$E$11+1,1))-AVERAGE(OFFSET($H$3,0,0,'Données projet'!$E$11+1,1))</f>
        <v>495.6473104257044</v>
      </c>
      <c r="BJ172" s="57">
        <f t="shared" si="146"/>
        <v>430.92527296485201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26.569469888685902</v>
      </c>
      <c r="BQ172" s="21">
        <f>EXP(-LN(2)/25)*BQ171+(1-EXP(-LN(2)/25))/(LN(2)/25)*Calculateur!BL172*Calculateur!BN172*VLOOKUP('Données projet'!$B$11,Paramètres!$A$1:$I$89,3,0)*0.475*44/12</f>
        <v>1.0672254312923442</v>
      </c>
      <c r="BR172" s="21">
        <f>EXP(-LN(2)/2)*BR171+(1-EXP(-LN(2)/2))/(LN(2)/2)*BL172*BO172*VLOOKUP('Données projet'!$B$11,Paramètres!$A$1:$I$89,3,0)*0.475*44/12</f>
        <v>8.7662609460607303E-22</v>
      </c>
      <c r="BS172" s="22">
        <f t="shared" si="169"/>
        <v>27.636695319978244</v>
      </c>
      <c r="BT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7" t="e">
        <f t="shared" si="119"/>
        <v>#NUM!</v>
      </c>
      <c r="CD172" s="57">
        <f ca="1">AVERAGE(OFFSET($CC$3,0,0,'Données projet'!$E$12+1,1))-AVERAGE(OFFSET($H$3,0,0,'Données projet'!$E$12+1,1))</f>
        <v>187.80389738728508</v>
      </c>
      <c r="CE172" s="57">
        <f t="shared" si="148"/>
        <v>439.28159165815265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7.8737661727139781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1.4783334603678283E-21</v>
      </c>
      <c r="CN172" s="22">
        <f t="shared" si="172"/>
        <v>7.8737661727139781</v>
      </c>
      <c r="CO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267</v>
      </c>
      <c r="CU172" s="17">
        <f>CT172*VLOOKUP('Données projet'!$B$13,Paramètres!$A$1:$I$89,3,0)*VLOOKUP('Données projet'!$B$13,Paramètres!$A$1:$I$89,5,0)</f>
        <v>241.58159999999998</v>
      </c>
      <c r="CV172" s="13">
        <f t="shared" si="173"/>
        <v>58.779689232021951</v>
      </c>
      <c r="CW172" s="20">
        <f t="shared" si="174"/>
        <v>523.12924541243819</v>
      </c>
      <c r="CX172" s="57">
        <f t="shared" si="122"/>
        <v>816.46257874577145</v>
      </c>
      <c r="CY172" s="57">
        <f ca="1">AVERAGE(OFFSET($CX$3,0,0,'Données projet'!$E$13+1,1))-AVERAGE(OFFSET($H$3,0,0,'Données projet'!$E$13+1,1))</f>
        <v>364.3481978218424</v>
      </c>
      <c r="CZ172" s="57">
        <f t="shared" si="150"/>
        <v>231.36959598460686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25.941655562492421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25.941655562492421</v>
      </c>
      <c r="DJ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255.00000000000006</v>
      </c>
      <c r="DP172" s="17">
        <f>DO172*VLOOKUP('Données projet'!$B$14,Paramètres!$A$1:$I$89,3,0)*VLOOKUP('Données projet'!$B$14,Paramètres!$A$1:$I$89,5,0)</f>
        <v>186.96600000000004</v>
      </c>
      <c r="DQ172" s="13">
        <f t="shared" si="176"/>
        <v>46.868551400324648</v>
      </c>
      <c r="DR172" s="20">
        <f t="shared" si="177"/>
        <v>407.26184368889881</v>
      </c>
      <c r="DS172" s="57">
        <f t="shared" si="125"/>
        <v>700.59517702223206</v>
      </c>
      <c r="DT172" s="57">
        <f ca="1">AVERAGE(OFFSET($DS$3,0,0,'Données projet'!$E$14+1,1))-AVERAGE(OFFSET($H$3,0,0,'Données projet'!$E$14+1,1))</f>
        <v>239.25212250019609</v>
      </c>
      <c r="DU172" s="57">
        <f t="shared" si="152"/>
        <v>213.58492101729695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403.99999999999994</v>
      </c>
      <c r="EK172" s="17">
        <f>EJ172*VLOOKUP('Données projet'!$B$15,Paramètres!$A$1:$I$89,3,0)*VLOOKUP('Données projet'!$B$15,Paramètres!$A$1:$I$89,5,0)</f>
        <v>346.63200000000001</v>
      </c>
      <c r="EL172" s="13">
        <f t="shared" si="179"/>
        <v>80.868615263336864</v>
      </c>
      <c r="EM172" s="20">
        <f t="shared" si="180"/>
        <v>744.56357158364483</v>
      </c>
      <c r="EN172" s="57">
        <f t="shared" si="128"/>
        <v>1037.8969049169782</v>
      </c>
      <c r="EO172" s="57">
        <f ca="1">AVERAGE(OFFSET($EN$3,0,0,'Données projet'!$E$15+1,1))-AVERAGE(OFFSET($H$3,0,0,'Données projet'!$E$15+1,1))</f>
        <v>447.10969593632467</v>
      </c>
      <c r="EP172" s="57">
        <f t="shared" si="154"/>
        <v>256.77417912163997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37.703603356926919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37.703603356926919</v>
      </c>
      <c r="EZ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7" t="e">
        <f t="shared" si="131"/>
        <v>#N/A</v>
      </c>
      <c r="FJ172" s="57" t="e">
        <f ca="1">AVERAGE(OFFSET($FI$3,0,0,'Données projet'!$E$16+1,1))-AVERAGE(OFFSET($H$3,0,0,'Données projet'!$E$16+1,1))</f>
        <v>#N/A</v>
      </c>
      <c r="FK172" s="57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7" t="e">
        <f t="shared" si="134"/>
        <v>#N/A</v>
      </c>
      <c r="GE172" s="57" t="e">
        <f ca="1">AVERAGE(OFFSET($GD$3,0,0,'Données projet'!$E$17+1,1))-AVERAGE(OFFSET($H$3,0,0,'Données projet'!$E$17+1,1))</f>
        <v>#N/A</v>
      </c>
      <c r="GF172" s="57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7" t="e">
        <f t="shared" si="137"/>
        <v>#N/A</v>
      </c>
      <c r="GZ172" s="57" t="e">
        <f ca="1">AVERAGE(OFFSET($GY$3,0,0,'Données projet'!$E$18+1,1))-AVERAGE(OFFSET($H$3,0,0,'Données projet'!$E$18+1,1))</f>
        <v>#N/A</v>
      </c>
      <c r="HA172" s="57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0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4">
        <f t="shared" si="110"/>
        <v>256.66666666666669</v>
      </c>
      <c r="I173" s="6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636.99999999999977</v>
      </c>
      <c r="O173" s="13">
        <f>N173*VLOOKUP('Données projet'!$B$9,Paramètres!$A$1:$I$89,3,0)*VLOOKUP('Données projet'!$B$9,Paramètres!$A$1:$I$89,5,0)</f>
        <v>356.08299999999991</v>
      </c>
      <c r="P173" s="13">
        <f t="shared" si="141"/>
        <v>82.813805255716545</v>
      </c>
      <c r="Q173" s="20">
        <f t="shared" si="162"/>
        <v>764.41193582037283</v>
      </c>
      <c r="R173" s="57">
        <f t="shared" si="109"/>
        <v>1057.7452691537062</v>
      </c>
      <c r="S173" s="57">
        <f ca="1">AVERAGE(OFFSET($R$3,0,0,'Données projet'!$E$9+1,1))-AVERAGE(OFFSET($H$3,0,0,'Données projet'!$E$9+1,1))</f>
        <v>443.34220761968419</v>
      </c>
      <c r="T173" s="57">
        <f t="shared" si="142"/>
        <v>546.58234447298014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11.064616983269111</v>
      </c>
      <c r="AA173" s="21">
        <f>EXP(-LN(2)/25)*AA172+(1-EXP(-LN(2)/25))/(LN(2)/25)*Calculateur!V173*Calculateur!X173*VLOOKUP('Données projet'!$B$9,Paramètres!$A$1:$I$89,3,0)*0.475*44/12</f>
        <v>0.45228822336677615</v>
      </c>
      <c r="AB173" s="21">
        <f>EXP(-LN(2)/2)*AB172+(1-EXP(-LN(2)/2))/(LN(2)/2)*V173*Y173*VLOOKUP('Données projet'!$B$9,Paramètres!$A$1:$I$89,3,0)*0.475*44/12</f>
        <v>5.1176009847273475E-21</v>
      </c>
      <c r="AC173" s="22">
        <f t="shared" si="163"/>
        <v>11.516905206635888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911.99999999999898</v>
      </c>
      <c r="AJ173" s="13">
        <f>AI173*VLOOKUP('Données projet'!$B$10,Paramètres!$A$1:$I$89,3,0)*VLOOKUP('Données projet'!$B$10,Paramètres!$A$1:$I$89,5,0)</f>
        <v>426.81599999999946</v>
      </c>
      <c r="AK173" s="13">
        <f t="shared" si="164"/>
        <v>97.192496986872399</v>
      </c>
      <c r="AL173" s="20">
        <f t="shared" si="165"/>
        <v>912.64813225213504</v>
      </c>
      <c r="AM173" s="57">
        <f t="shared" si="113"/>
        <v>1205.9814655854684</v>
      </c>
      <c r="AN173" s="57">
        <f ca="1">AVERAGE(OFFSET($AM$3,0,0,'Données projet'!$E$10+1,1))-AVERAGE(OFFSET($H$3,0,0,'Données projet'!$E$10+1,1))</f>
        <v>524.3999528951972</v>
      </c>
      <c r="AO173" s="57">
        <f t="shared" si="144"/>
        <v>459.3547783500515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25.004403146029652</v>
      </c>
      <c r="AV173" s="21">
        <f>EXP(-LN(2)/25)*AV172+(1-EXP(-LN(2)/25))/(LN(2)/25)*Calculateur!AQ173*Calculateur!AS173*VLOOKUP('Données projet'!$B$10,Paramètres!$A$1:$I$89,3,0)*0.475*44/12</f>
        <v>1.1018038952439968</v>
      </c>
      <c r="AW173" s="21">
        <f>EXP(-LN(2)/2)*AW172+(1-EXP(-LN(2)/2))/(LN(2)/2)*AQ173*AT173*VLOOKUP('Données projet'!$B$10,Paramètres!$A$1:$I$89,3,0)*0.475*44/12</f>
        <v>1.0098670771277186E-21</v>
      </c>
      <c r="AX173" s="21">
        <f t="shared" si="166"/>
        <v>26.106207041273649</v>
      </c>
      <c r="AY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852.00000000000011</v>
      </c>
      <c r="BE173" s="13">
        <f>BD173*VLOOKUP('Données projet'!$B$11,Paramètres!$A$1:$I$89,3,0)*VLOOKUP('Données projet'!$B$11,Paramètres!$A$1:$I$89,5,0)</f>
        <v>409.81200000000013</v>
      </c>
      <c r="BF173" s="13">
        <f t="shared" si="167"/>
        <v>93.76308331402879</v>
      </c>
      <c r="BG173" s="20">
        <f t="shared" si="168"/>
        <v>877.05993677193362</v>
      </c>
      <c r="BH173" s="57">
        <f t="shared" si="116"/>
        <v>1170.393270105267</v>
      </c>
      <c r="BI173" s="57">
        <f ca="1">AVERAGE(OFFSET($BH$3,0,0,'Données projet'!$E$11+1,1))-AVERAGE(OFFSET($H$3,0,0,'Données projet'!$E$11+1,1))</f>
        <v>495.6473104257044</v>
      </c>
      <c r="BJ173" s="57">
        <f t="shared" si="146"/>
        <v>430.92527296485201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26.048458789945215</v>
      </c>
      <c r="BQ173" s="21">
        <f>EXP(-LN(2)/25)*BQ172+(1-EXP(-LN(2)/25))/(LN(2)/25)*Calculateur!BL173*Calculateur!BN173*VLOOKUP('Données projet'!$B$11,Paramètres!$A$1:$I$89,3,0)*0.475*44/12</f>
        <v>1.0380420957507088</v>
      </c>
      <c r="BR173" s="21">
        <f>EXP(-LN(2)/2)*BR172+(1-EXP(-LN(2)/2))/(LN(2)/2)*BL173*BO173*VLOOKUP('Données projet'!$B$11,Paramètres!$A$1:$I$89,3,0)*0.475*44/12</f>
        <v>6.1986825606103418E-22</v>
      </c>
      <c r="BS173" s="22">
        <f t="shared" si="169"/>
        <v>27.086500885695923</v>
      </c>
      <c r="BT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7" t="e">
        <f t="shared" si="119"/>
        <v>#NUM!</v>
      </c>
      <c r="CD173" s="57">
        <f ca="1">AVERAGE(OFFSET($CC$3,0,0,'Données projet'!$E$12+1,1))-AVERAGE(OFFSET($H$3,0,0,'Données projet'!$E$12+1,1))</f>
        <v>187.80389738728508</v>
      </c>
      <c r="CE173" s="57">
        <f t="shared" si="148"/>
        <v>439.28159165815265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7.7193664205902124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1.0453396146810656E-21</v>
      </c>
      <c r="CN173" s="22">
        <f t="shared" si="172"/>
        <v>7.7193664205902124</v>
      </c>
      <c r="CO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267</v>
      </c>
      <c r="CU173" s="17">
        <f>CT173*VLOOKUP('Données projet'!$B$13,Paramètres!$A$1:$I$89,3,0)*VLOOKUP('Données projet'!$B$13,Paramètres!$A$1:$I$89,5,0)</f>
        <v>241.58159999999998</v>
      </c>
      <c r="CV173" s="13">
        <f t="shared" si="173"/>
        <v>58.779689232021951</v>
      </c>
      <c r="CW173" s="20">
        <f t="shared" si="174"/>
        <v>523.12924541243819</v>
      </c>
      <c r="CX173" s="57">
        <f t="shared" si="122"/>
        <v>816.46257874577145</v>
      </c>
      <c r="CY173" s="57">
        <f ca="1">AVERAGE(OFFSET($CX$3,0,0,'Données projet'!$E$13+1,1))-AVERAGE(OFFSET($H$3,0,0,'Données projet'!$E$13+1,1))</f>
        <v>364.3481978218424</v>
      </c>
      <c r="CZ173" s="57">
        <f t="shared" si="150"/>
        <v>231.36959598460686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25.43295551975946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25.43295551975946</v>
      </c>
      <c r="DJ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255.00000000000006</v>
      </c>
      <c r="DP173" s="17">
        <f>DO173*VLOOKUP('Données projet'!$B$14,Paramètres!$A$1:$I$89,3,0)*VLOOKUP('Données projet'!$B$14,Paramètres!$A$1:$I$89,5,0)</f>
        <v>186.96600000000004</v>
      </c>
      <c r="DQ173" s="13">
        <f t="shared" si="176"/>
        <v>46.868551400324648</v>
      </c>
      <c r="DR173" s="20">
        <f t="shared" si="177"/>
        <v>407.26184368889881</v>
      </c>
      <c r="DS173" s="57">
        <f t="shared" si="125"/>
        <v>700.59517702223206</v>
      </c>
      <c r="DT173" s="57">
        <f ca="1">AVERAGE(OFFSET($DS$3,0,0,'Données projet'!$E$14+1,1))-AVERAGE(OFFSET($H$3,0,0,'Données projet'!$E$14+1,1))</f>
        <v>239.25212250019609</v>
      </c>
      <c r="DU173" s="57">
        <f t="shared" si="152"/>
        <v>213.58492101729695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403.99999999999994</v>
      </c>
      <c r="EK173" s="17">
        <f>EJ173*VLOOKUP('Données projet'!$B$15,Paramètres!$A$1:$I$89,3,0)*VLOOKUP('Données projet'!$B$15,Paramètres!$A$1:$I$89,5,0)</f>
        <v>346.63200000000001</v>
      </c>
      <c r="EL173" s="13">
        <f t="shared" si="179"/>
        <v>80.868615263336864</v>
      </c>
      <c r="EM173" s="20">
        <f t="shared" si="180"/>
        <v>744.56357158364483</v>
      </c>
      <c r="EN173" s="57">
        <f t="shared" si="128"/>
        <v>1037.8969049169782</v>
      </c>
      <c r="EO173" s="57">
        <f ca="1">AVERAGE(OFFSET($EN$3,0,0,'Données projet'!$E$15+1,1))-AVERAGE(OFFSET($H$3,0,0,'Données projet'!$E$15+1,1))</f>
        <v>447.10969593632467</v>
      </c>
      <c r="EP173" s="57">
        <f t="shared" si="154"/>
        <v>256.77417912163997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36.96425869202487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36.96425869202487</v>
      </c>
      <c r="EZ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7" t="e">
        <f t="shared" si="131"/>
        <v>#N/A</v>
      </c>
      <c r="FJ173" s="57" t="e">
        <f ca="1">AVERAGE(OFFSET($FI$3,0,0,'Données projet'!$E$16+1,1))-AVERAGE(OFFSET($H$3,0,0,'Données projet'!$E$16+1,1))</f>
        <v>#N/A</v>
      </c>
      <c r="FK173" s="57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7" t="e">
        <f t="shared" si="134"/>
        <v>#N/A</v>
      </c>
      <c r="GE173" s="57" t="e">
        <f ca="1">AVERAGE(OFFSET($GD$3,0,0,'Données projet'!$E$17+1,1))-AVERAGE(OFFSET($H$3,0,0,'Données projet'!$E$17+1,1))</f>
        <v>#N/A</v>
      </c>
      <c r="GF173" s="57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7" t="e">
        <f t="shared" si="137"/>
        <v>#N/A</v>
      </c>
      <c r="GZ173" s="57" t="e">
        <f ca="1">AVERAGE(OFFSET($GY$3,0,0,'Données projet'!$E$18+1,1))-AVERAGE(OFFSET($H$3,0,0,'Données projet'!$E$18+1,1))</f>
        <v>#N/A</v>
      </c>
      <c r="HA173" s="57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0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4">
        <f t="shared" si="110"/>
        <v>256.66666666666669</v>
      </c>
      <c r="I174" s="6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636.99999999999977</v>
      </c>
      <c r="O174" s="13">
        <f>N174*VLOOKUP('Données projet'!$B$9,Paramètres!$A$1:$I$89,3,0)*VLOOKUP('Données projet'!$B$9,Paramètres!$A$1:$I$89,5,0)</f>
        <v>356.08299999999991</v>
      </c>
      <c r="P174" s="13">
        <f t="shared" si="141"/>
        <v>82.813805255716545</v>
      </c>
      <c r="Q174" s="20">
        <f t="shared" si="162"/>
        <v>764.41193582037283</v>
      </c>
      <c r="R174" s="57">
        <f t="shared" si="109"/>
        <v>1057.7452691537062</v>
      </c>
      <c r="S174" s="57">
        <f ca="1">AVERAGE(OFFSET($R$3,0,0,'Données projet'!$E$9+1,1))-AVERAGE(OFFSET($H$3,0,0,'Données projet'!$E$9+1,1))</f>
        <v>443.34220761968419</v>
      </c>
      <c r="T174" s="57">
        <f t="shared" si="142"/>
        <v>546.58234447298014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10.847646592977179</v>
      </c>
      <c r="AA174" s="21">
        <f>EXP(-LN(2)/25)*AA173+(1-EXP(-LN(2)/25))/(LN(2)/25)*Calculateur!V174*Calculateur!X174*VLOOKUP('Données projet'!$B$9,Paramètres!$A$1:$I$89,3,0)*0.475*44/12</f>
        <v>0.43992037811400769</v>
      </c>
      <c r="AB174" s="21">
        <f>EXP(-LN(2)/2)*AB173+(1-EXP(-LN(2)/2))/(LN(2)/2)*V174*Y174*VLOOKUP('Données projet'!$B$9,Paramètres!$A$1:$I$89,3,0)*0.475*44/12</f>
        <v>3.6186903597076606E-21</v>
      </c>
      <c r="AC174" s="22">
        <f t="shared" si="163"/>
        <v>11.287566971091188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911.99999999999898</v>
      </c>
      <c r="AJ174" s="13">
        <f>AI174*VLOOKUP('Données projet'!$B$10,Paramètres!$A$1:$I$89,3,0)*VLOOKUP('Données projet'!$B$10,Paramètres!$A$1:$I$89,5,0)</f>
        <v>426.81599999999946</v>
      </c>
      <c r="AK174" s="13">
        <f t="shared" si="164"/>
        <v>97.192496986872399</v>
      </c>
      <c r="AL174" s="20">
        <f t="shared" si="165"/>
        <v>912.64813225213504</v>
      </c>
      <c r="AM174" s="57">
        <f t="shared" si="113"/>
        <v>1205.9814655854684</v>
      </c>
      <c r="AN174" s="57">
        <f ca="1">AVERAGE(OFFSET($AM$3,0,0,'Données projet'!$E$10+1,1))-AVERAGE(OFFSET($H$3,0,0,'Données projet'!$E$10+1,1))</f>
        <v>524.3999528951972</v>
      </c>
      <c r="AO174" s="57">
        <f t="shared" si="144"/>
        <v>459.3547783500515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24.514082051516002</v>
      </c>
      <c r="AV174" s="21">
        <f>EXP(-LN(2)/25)*AV173+(1-EXP(-LN(2)/25))/(LN(2)/25)*Calculateur!AQ174*Calculateur!AS174*VLOOKUP('Données projet'!$B$10,Paramètres!$A$1:$I$89,3,0)*0.475*44/12</f>
        <v>1.071675009787201</v>
      </c>
      <c r="AW174" s="21">
        <f>EXP(-LN(2)/2)*AW173+(1-EXP(-LN(2)/2))/(LN(2)/2)*AQ174*AT174*VLOOKUP('Données projet'!$B$10,Paramètres!$A$1:$I$89,3,0)*0.475*44/12</f>
        <v>7.1408385833404806E-22</v>
      </c>
      <c r="AX174" s="21">
        <f t="shared" si="166"/>
        <v>25.585757061303202</v>
      </c>
      <c r="AY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852.00000000000011</v>
      </c>
      <c r="BE174" s="13">
        <f>BD174*VLOOKUP('Données projet'!$B$11,Paramètres!$A$1:$I$89,3,0)*VLOOKUP('Données projet'!$B$11,Paramètres!$A$1:$I$89,5,0)</f>
        <v>409.81200000000013</v>
      </c>
      <c r="BF174" s="13">
        <f t="shared" si="167"/>
        <v>93.76308331402879</v>
      </c>
      <c r="BG174" s="20">
        <f t="shared" si="168"/>
        <v>877.05993677193362</v>
      </c>
      <c r="BH174" s="57">
        <f t="shared" si="116"/>
        <v>1170.393270105267</v>
      </c>
      <c r="BI174" s="57">
        <f ca="1">AVERAGE(OFFSET($BH$3,0,0,'Données projet'!$E$11+1,1))-AVERAGE(OFFSET($H$3,0,0,'Données projet'!$E$11+1,1))</f>
        <v>495.6473104257044</v>
      </c>
      <c r="BJ174" s="57">
        <f t="shared" si="146"/>
        <v>430.92527296485201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25.537664401065442</v>
      </c>
      <c r="BQ174" s="21">
        <f>EXP(-LN(2)/25)*BQ173+(1-EXP(-LN(2)/25))/(LN(2)/25)*Calculateur!BL174*Calculateur!BN174*VLOOKUP('Données projet'!$B$11,Paramètres!$A$1:$I$89,3,0)*0.475*44/12</f>
        <v>1.0096567800541443</v>
      </c>
      <c r="BR174" s="21">
        <f>EXP(-LN(2)/2)*BR173+(1-EXP(-LN(2)/2))/(LN(2)/2)*BL174*BO174*VLOOKUP('Données projet'!$B$11,Paramètres!$A$1:$I$89,3,0)*0.475*44/12</f>
        <v>4.3831304730303651E-22</v>
      </c>
      <c r="BS174" s="22">
        <f t="shared" si="169"/>
        <v>26.547321181119585</v>
      </c>
      <c r="BT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7" t="e">
        <f t="shared" si="119"/>
        <v>#NUM!</v>
      </c>
      <c r="CD174" s="57">
        <f ca="1">AVERAGE(OFFSET($CC$3,0,0,'Données projet'!$E$12+1,1))-AVERAGE(OFFSET($H$3,0,0,'Données projet'!$E$12+1,1))</f>
        <v>187.80389738728508</v>
      </c>
      <c r="CE174" s="57">
        <f t="shared" si="148"/>
        <v>439.28159165815265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7.5679943534310441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7.3916673018391414E-22</v>
      </c>
      <c r="CN174" s="22">
        <f t="shared" si="172"/>
        <v>7.5679943534310441</v>
      </c>
      <c r="CO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267</v>
      </c>
      <c r="CU174" s="17">
        <f>CT174*VLOOKUP('Données projet'!$B$13,Paramètres!$A$1:$I$89,3,0)*VLOOKUP('Données projet'!$B$13,Paramètres!$A$1:$I$89,5,0)</f>
        <v>241.58159999999998</v>
      </c>
      <c r="CV174" s="13">
        <f t="shared" si="173"/>
        <v>58.779689232021951</v>
      </c>
      <c r="CW174" s="20">
        <f t="shared" si="174"/>
        <v>523.12924541243819</v>
      </c>
      <c r="CX174" s="57">
        <f t="shared" si="122"/>
        <v>816.46257874577145</v>
      </c>
      <c r="CY174" s="57">
        <f ca="1">AVERAGE(OFFSET($CX$3,0,0,'Données projet'!$E$13+1,1))-AVERAGE(OFFSET($H$3,0,0,'Données projet'!$E$13+1,1))</f>
        <v>364.3481978218424</v>
      </c>
      <c r="CZ174" s="57">
        <f t="shared" si="150"/>
        <v>231.36959598460686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24.934230774588105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24.934230774588105</v>
      </c>
      <c r="DJ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255.00000000000006</v>
      </c>
      <c r="DP174" s="17">
        <f>DO174*VLOOKUP('Données projet'!$B$14,Paramètres!$A$1:$I$89,3,0)*VLOOKUP('Données projet'!$B$14,Paramètres!$A$1:$I$89,5,0)</f>
        <v>186.96600000000004</v>
      </c>
      <c r="DQ174" s="13">
        <f t="shared" si="176"/>
        <v>46.868551400324648</v>
      </c>
      <c r="DR174" s="20">
        <f t="shared" si="177"/>
        <v>407.26184368889881</v>
      </c>
      <c r="DS174" s="57">
        <f t="shared" si="125"/>
        <v>700.59517702223206</v>
      </c>
      <c r="DT174" s="57">
        <f ca="1">AVERAGE(OFFSET($DS$3,0,0,'Données projet'!$E$14+1,1))-AVERAGE(OFFSET($H$3,0,0,'Données projet'!$E$14+1,1))</f>
        <v>239.25212250019609</v>
      </c>
      <c r="DU174" s="57">
        <f t="shared" si="152"/>
        <v>213.58492101729695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403.99999999999994</v>
      </c>
      <c r="EK174" s="17">
        <f>EJ174*VLOOKUP('Données projet'!$B$15,Paramètres!$A$1:$I$89,3,0)*VLOOKUP('Données projet'!$B$15,Paramètres!$A$1:$I$89,5,0)</f>
        <v>346.63200000000001</v>
      </c>
      <c r="EL174" s="13">
        <f t="shared" si="179"/>
        <v>80.868615263336864</v>
      </c>
      <c r="EM174" s="20">
        <f t="shared" si="180"/>
        <v>744.56357158364483</v>
      </c>
      <c r="EN174" s="57">
        <f t="shared" si="128"/>
        <v>1037.8969049169782</v>
      </c>
      <c r="EO174" s="57">
        <f ca="1">AVERAGE(OFFSET($EN$3,0,0,'Données projet'!$E$15+1,1))-AVERAGE(OFFSET($H$3,0,0,'Données projet'!$E$15+1,1))</f>
        <v>447.10969593632467</v>
      </c>
      <c r="EP174" s="57">
        <f t="shared" si="154"/>
        <v>256.77417912163997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36.239412125045838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36.239412125045838</v>
      </c>
      <c r="EZ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7" t="e">
        <f t="shared" si="131"/>
        <v>#N/A</v>
      </c>
      <c r="FJ174" s="57" t="e">
        <f ca="1">AVERAGE(OFFSET($FI$3,0,0,'Données projet'!$E$16+1,1))-AVERAGE(OFFSET($H$3,0,0,'Données projet'!$E$16+1,1))</f>
        <v>#N/A</v>
      </c>
      <c r="FK174" s="57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7" t="e">
        <f t="shared" si="134"/>
        <v>#N/A</v>
      </c>
      <c r="GE174" s="57" t="e">
        <f ca="1">AVERAGE(OFFSET($GD$3,0,0,'Données projet'!$E$17+1,1))-AVERAGE(OFFSET($H$3,0,0,'Données projet'!$E$17+1,1))</f>
        <v>#N/A</v>
      </c>
      <c r="GF174" s="57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7" t="e">
        <f t="shared" si="137"/>
        <v>#N/A</v>
      </c>
      <c r="GZ174" s="57" t="e">
        <f ca="1">AVERAGE(OFFSET($GY$3,0,0,'Données projet'!$E$18+1,1))-AVERAGE(OFFSET($H$3,0,0,'Données projet'!$E$18+1,1))</f>
        <v>#N/A</v>
      </c>
      <c r="HA174" s="57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0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4">
        <f t="shared" si="110"/>
        <v>256.66666666666669</v>
      </c>
      <c r="I175" s="6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636.99999999999977</v>
      </c>
      <c r="O175" s="13">
        <f>N175*VLOOKUP('Données projet'!$B$9,Paramètres!$A$1:$I$89,3,0)*VLOOKUP('Données projet'!$B$9,Paramètres!$A$1:$I$89,5,0)</f>
        <v>356.08299999999991</v>
      </c>
      <c r="P175" s="13">
        <f t="shared" si="141"/>
        <v>82.813805255716545</v>
      </c>
      <c r="Q175" s="20">
        <f t="shared" si="162"/>
        <v>764.41193582037283</v>
      </c>
      <c r="R175" s="57">
        <f t="shared" si="109"/>
        <v>1057.7452691537062</v>
      </c>
      <c r="S175" s="57">
        <f ca="1">AVERAGE(OFFSET($R$3,0,0,'Données projet'!$E$9+1,1))-AVERAGE(OFFSET($H$3,0,0,'Données projet'!$E$9+1,1))</f>
        <v>443.34220761968419</v>
      </c>
      <c r="T175" s="57">
        <f t="shared" si="142"/>
        <v>546.58234447298014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10.634930859700003</v>
      </c>
      <c r="AA175" s="21">
        <f>EXP(-LN(2)/25)*AA174+(1-EXP(-LN(2)/25))/(LN(2)/25)*Calculateur!V175*Calculateur!X175*VLOOKUP('Données projet'!$B$9,Paramètres!$A$1:$I$89,3,0)*0.475*44/12</f>
        <v>0.4278907322400729</v>
      </c>
      <c r="AB175" s="21">
        <f>EXP(-LN(2)/2)*AB174+(1-EXP(-LN(2)/2))/(LN(2)/2)*V175*Y175*VLOOKUP('Données projet'!$B$9,Paramètres!$A$1:$I$89,3,0)*0.475*44/12</f>
        <v>2.5588004923636738E-21</v>
      </c>
      <c r="AC175" s="22">
        <f t="shared" si="163"/>
        <v>11.062821591940075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911.99999999999898</v>
      </c>
      <c r="AJ175" s="13">
        <f>AI175*VLOOKUP('Données projet'!$B$10,Paramètres!$A$1:$I$89,3,0)*VLOOKUP('Données projet'!$B$10,Paramètres!$A$1:$I$89,5,0)</f>
        <v>426.81599999999946</v>
      </c>
      <c r="AK175" s="13">
        <f t="shared" si="164"/>
        <v>97.192496986872399</v>
      </c>
      <c r="AL175" s="20">
        <f t="shared" si="165"/>
        <v>912.64813225213504</v>
      </c>
      <c r="AM175" s="57">
        <f t="shared" si="113"/>
        <v>1205.9814655854684</v>
      </c>
      <c r="AN175" s="57">
        <f ca="1">AVERAGE(OFFSET($AM$3,0,0,'Données projet'!$E$10+1,1))-AVERAGE(OFFSET($H$3,0,0,'Données projet'!$E$10+1,1))</f>
        <v>524.3999528951972</v>
      </c>
      <c r="AO175" s="57">
        <f t="shared" si="144"/>
        <v>459.3547783500515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24.033375854599427</v>
      </c>
      <c r="AV175" s="21">
        <f>EXP(-LN(2)/25)*AV174+(1-EXP(-LN(2)/25))/(LN(2)/25)*Calculateur!AQ175*Calculateur!AS175*VLOOKUP('Données projet'!$B$10,Paramètres!$A$1:$I$89,3,0)*0.475*44/12</f>
        <v>1.0423700002876306</v>
      </c>
      <c r="AW175" s="21">
        <f>EXP(-LN(2)/2)*AW174+(1-EXP(-LN(2)/2))/(LN(2)/2)*AQ175*AT175*VLOOKUP('Données projet'!$B$10,Paramètres!$A$1:$I$89,3,0)*0.475*44/12</f>
        <v>5.0493353856385932E-22</v>
      </c>
      <c r="AX175" s="21">
        <f t="shared" si="166"/>
        <v>25.075745854887057</v>
      </c>
      <c r="AY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852.00000000000011</v>
      </c>
      <c r="BE175" s="13">
        <f>BD175*VLOOKUP('Données projet'!$B$11,Paramètres!$A$1:$I$89,3,0)*VLOOKUP('Données projet'!$B$11,Paramètres!$A$1:$I$89,5,0)</f>
        <v>409.81200000000013</v>
      </c>
      <c r="BF175" s="13">
        <f t="shared" si="167"/>
        <v>93.76308331402879</v>
      </c>
      <c r="BG175" s="20">
        <f t="shared" si="168"/>
        <v>877.05993677193362</v>
      </c>
      <c r="BH175" s="57">
        <f t="shared" si="116"/>
        <v>1170.393270105267</v>
      </c>
      <c r="BI175" s="57">
        <f ca="1">AVERAGE(OFFSET($BH$3,0,0,'Données projet'!$E$11+1,1))-AVERAGE(OFFSET($H$3,0,0,'Données projet'!$E$11+1,1))</f>
        <v>495.6473104257044</v>
      </c>
      <c r="BJ175" s="57">
        <f t="shared" si="146"/>
        <v>430.92527296485201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25.036886378597789</v>
      </c>
      <c r="BQ175" s="21">
        <f>EXP(-LN(2)/25)*BQ174+(1-EXP(-LN(2)/25))/(LN(2)/25)*Calculateur!BL175*Calculateur!BN175*VLOOKUP('Données projet'!$B$11,Paramètres!$A$1:$I$89,3,0)*0.475*44/12</f>
        <v>0.98204766230802121</v>
      </c>
      <c r="BR175" s="21">
        <f>EXP(-LN(2)/2)*BR174+(1-EXP(-LN(2)/2))/(LN(2)/2)*BL175*BO175*VLOOKUP('Données projet'!$B$11,Paramètres!$A$1:$I$89,3,0)*0.475*44/12</f>
        <v>3.0993412803051709E-22</v>
      </c>
      <c r="BS175" s="22">
        <f t="shared" si="169"/>
        <v>26.018934040905808</v>
      </c>
      <c r="BT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7" t="e">
        <f t="shared" si="119"/>
        <v>#NUM!</v>
      </c>
      <c r="CD175" s="57">
        <f ca="1">AVERAGE(OFFSET($CC$3,0,0,'Données projet'!$E$12+1,1))-AVERAGE(OFFSET($H$3,0,0,'Données projet'!$E$12+1,1))</f>
        <v>187.80389738728508</v>
      </c>
      <c r="CE175" s="57">
        <f t="shared" si="148"/>
        <v>439.28159165815265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7.4195906001810226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5.2266980734053278E-22</v>
      </c>
      <c r="CN175" s="22">
        <f t="shared" si="172"/>
        <v>7.4195906001810226</v>
      </c>
      <c r="CO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267</v>
      </c>
      <c r="CU175" s="17">
        <f>CT175*VLOOKUP('Données projet'!$B$13,Paramètres!$A$1:$I$89,3,0)*VLOOKUP('Données projet'!$B$13,Paramètres!$A$1:$I$89,5,0)</f>
        <v>241.58159999999998</v>
      </c>
      <c r="CV175" s="13">
        <f t="shared" si="173"/>
        <v>58.779689232021951</v>
      </c>
      <c r="CW175" s="20">
        <f t="shared" si="174"/>
        <v>523.12924541243819</v>
      </c>
      <c r="CX175" s="57">
        <f t="shared" si="122"/>
        <v>816.46257874577145</v>
      </c>
      <c r="CY175" s="57">
        <f ca="1">AVERAGE(OFFSET($CX$3,0,0,'Données projet'!$E$13+1,1))-AVERAGE(OFFSET($H$3,0,0,'Données projet'!$E$13+1,1))</f>
        <v>364.3481978218424</v>
      </c>
      <c r="CZ175" s="57">
        <f t="shared" si="150"/>
        <v>231.36959598460686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24.445285717477503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24.445285717477503</v>
      </c>
      <c r="DJ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255.00000000000006</v>
      </c>
      <c r="DP175" s="17">
        <f>DO175*VLOOKUP('Données projet'!$B$14,Paramètres!$A$1:$I$89,3,0)*VLOOKUP('Données projet'!$B$14,Paramètres!$A$1:$I$89,5,0)</f>
        <v>186.96600000000004</v>
      </c>
      <c r="DQ175" s="13">
        <f t="shared" si="176"/>
        <v>46.868551400324648</v>
      </c>
      <c r="DR175" s="20">
        <f t="shared" si="177"/>
        <v>407.26184368889881</v>
      </c>
      <c r="DS175" s="57">
        <f t="shared" si="125"/>
        <v>700.59517702223206</v>
      </c>
      <c r="DT175" s="57">
        <f ca="1">AVERAGE(OFFSET($DS$3,0,0,'Données projet'!$E$14+1,1))-AVERAGE(OFFSET($H$3,0,0,'Données projet'!$E$14+1,1))</f>
        <v>239.25212250019609</v>
      </c>
      <c r="DU175" s="57">
        <f t="shared" si="152"/>
        <v>213.58492101729695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403.99999999999994</v>
      </c>
      <c r="EK175" s="17">
        <f>EJ175*VLOOKUP('Données projet'!$B$15,Paramètres!$A$1:$I$89,3,0)*VLOOKUP('Données projet'!$B$15,Paramètres!$A$1:$I$89,5,0)</f>
        <v>346.63200000000001</v>
      </c>
      <c r="EL175" s="13">
        <f t="shared" si="179"/>
        <v>80.868615263336864</v>
      </c>
      <c r="EM175" s="20">
        <f t="shared" si="180"/>
        <v>744.56357158364483</v>
      </c>
      <c r="EN175" s="57">
        <f t="shared" si="128"/>
        <v>1037.8969049169782</v>
      </c>
      <c r="EO175" s="57">
        <f ca="1">AVERAGE(OFFSET($EN$3,0,0,'Données projet'!$E$15+1,1))-AVERAGE(OFFSET($H$3,0,0,'Données projet'!$E$15+1,1))</f>
        <v>447.10969593632467</v>
      </c>
      <c r="EP175" s="57">
        <f t="shared" si="154"/>
        <v>256.77417912163997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35.528779357132514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35.528779357132514</v>
      </c>
      <c r="EZ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7" t="e">
        <f t="shared" si="131"/>
        <v>#N/A</v>
      </c>
      <c r="FJ175" s="57" t="e">
        <f ca="1">AVERAGE(OFFSET($FI$3,0,0,'Données projet'!$E$16+1,1))-AVERAGE(OFFSET($H$3,0,0,'Données projet'!$E$16+1,1))</f>
        <v>#N/A</v>
      </c>
      <c r="FK175" s="57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7" t="e">
        <f t="shared" si="134"/>
        <v>#N/A</v>
      </c>
      <c r="GE175" s="57" t="e">
        <f ca="1">AVERAGE(OFFSET($GD$3,0,0,'Données projet'!$E$17+1,1))-AVERAGE(OFFSET($H$3,0,0,'Données projet'!$E$17+1,1))</f>
        <v>#N/A</v>
      </c>
      <c r="GF175" s="57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7" t="e">
        <f t="shared" si="137"/>
        <v>#N/A</v>
      </c>
      <c r="GZ175" s="57" t="e">
        <f ca="1">AVERAGE(OFFSET($GY$3,0,0,'Données projet'!$E$18+1,1))-AVERAGE(OFFSET($H$3,0,0,'Données projet'!$E$18+1,1))</f>
        <v>#N/A</v>
      </c>
      <c r="HA175" s="57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0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4">
        <f t="shared" si="110"/>
        <v>256.66666666666669</v>
      </c>
      <c r="I176" s="6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636.99999999999977</v>
      </c>
      <c r="O176" s="13">
        <f>N176*VLOOKUP('Données projet'!$B$9,Paramètres!$A$1:$I$89,3,0)*VLOOKUP('Données projet'!$B$9,Paramètres!$A$1:$I$89,5,0)</f>
        <v>356.08299999999991</v>
      </c>
      <c r="P176" s="13">
        <f t="shared" si="141"/>
        <v>82.813805255716545</v>
      </c>
      <c r="Q176" s="20">
        <f t="shared" si="162"/>
        <v>764.41193582037283</v>
      </c>
      <c r="R176" s="57">
        <f t="shared" si="109"/>
        <v>1057.7452691537062</v>
      </c>
      <c r="S176" s="57">
        <f ca="1">AVERAGE(OFFSET($R$3,0,0,'Données projet'!$E$9+1,1))-AVERAGE(OFFSET($H$3,0,0,'Données projet'!$E$9+1,1))</f>
        <v>443.34220761968419</v>
      </c>
      <c r="T176" s="57">
        <f t="shared" si="142"/>
        <v>546.58234447298014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10.426386352208604</v>
      </c>
      <c r="AA176" s="21">
        <f>EXP(-LN(2)/25)*AA175+(1-EXP(-LN(2)/25))/(LN(2)/25)*Calculateur!V176*Calculateur!X176*VLOOKUP('Données projet'!$B$9,Paramètres!$A$1:$I$89,3,0)*0.475*44/12</f>
        <v>0.41619003766517243</v>
      </c>
      <c r="AB176" s="21">
        <f>EXP(-LN(2)/2)*AB175+(1-EXP(-LN(2)/2))/(LN(2)/2)*V176*Y176*VLOOKUP('Données projet'!$B$9,Paramètres!$A$1:$I$89,3,0)*0.475*44/12</f>
        <v>1.8093451798538303E-21</v>
      </c>
      <c r="AC176" s="22">
        <f t="shared" si="163"/>
        <v>10.842576389873777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911.99999999999898</v>
      </c>
      <c r="AJ176" s="13">
        <f>AI176*VLOOKUP('Données projet'!$B$10,Paramètres!$A$1:$I$89,3,0)*VLOOKUP('Données projet'!$B$10,Paramètres!$A$1:$I$89,5,0)</f>
        <v>426.81599999999946</v>
      </c>
      <c r="AK176" s="13">
        <f t="shared" si="164"/>
        <v>97.192496986872399</v>
      </c>
      <c r="AL176" s="20">
        <f t="shared" si="165"/>
        <v>912.64813225213504</v>
      </c>
      <c r="AM176" s="57">
        <f t="shared" si="113"/>
        <v>1205.9814655854684</v>
      </c>
      <c r="AN176" s="57">
        <f ca="1">AVERAGE(OFFSET($AM$3,0,0,'Données projet'!$E$10+1,1))-AVERAGE(OFFSET($H$3,0,0,'Données projet'!$E$10+1,1))</f>
        <v>524.3999528951972</v>
      </c>
      <c r="AO176" s="57">
        <f t="shared" si="144"/>
        <v>459.3547783500515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23.562096013002556</v>
      </c>
      <c r="AV176" s="21">
        <f>EXP(-LN(2)/25)*AV175+(1-EXP(-LN(2)/25))/(LN(2)/25)*Calculateur!AQ176*Calculateur!AS176*VLOOKUP('Données projet'!$B$10,Paramètres!$A$1:$I$89,3,0)*0.475*44/12</f>
        <v>1.0138663378139094</v>
      </c>
      <c r="AW176" s="21">
        <f>EXP(-LN(2)/2)*AW175+(1-EXP(-LN(2)/2))/(LN(2)/2)*AQ176*AT176*VLOOKUP('Données projet'!$B$10,Paramètres!$A$1:$I$89,3,0)*0.475*44/12</f>
        <v>3.5704192916702403E-22</v>
      </c>
      <c r="AX176" s="21">
        <f t="shared" si="166"/>
        <v>24.575962350816464</v>
      </c>
      <c r="AY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852.00000000000011</v>
      </c>
      <c r="BE176" s="13">
        <f>BD176*VLOOKUP('Données projet'!$B$11,Paramètres!$A$1:$I$89,3,0)*VLOOKUP('Données projet'!$B$11,Paramètres!$A$1:$I$89,5,0)</f>
        <v>409.81200000000013</v>
      </c>
      <c r="BF176" s="13">
        <f t="shared" si="167"/>
        <v>93.76308331402879</v>
      </c>
      <c r="BG176" s="20">
        <f t="shared" si="168"/>
        <v>877.05993677193362</v>
      </c>
      <c r="BH176" s="57">
        <f t="shared" si="116"/>
        <v>1170.393270105267</v>
      </c>
      <c r="BI176" s="57">
        <f ca="1">AVERAGE(OFFSET($BH$3,0,0,'Données projet'!$E$11+1,1))-AVERAGE(OFFSET($H$3,0,0,'Données projet'!$E$11+1,1))</f>
        <v>495.6473104257044</v>
      </c>
      <c r="BJ176" s="57">
        <f t="shared" si="146"/>
        <v>430.92527296485201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24.545928307706291</v>
      </c>
      <c r="BQ176" s="21">
        <f>EXP(-LN(2)/25)*BQ175+(1-EXP(-LN(2)/25))/(LN(2)/25)*Calculateur!BL176*Calculateur!BN176*VLOOKUP('Données projet'!$B$11,Paramètres!$A$1:$I$89,3,0)*0.475*44/12</f>
        <v>0.95519351733856628</v>
      </c>
      <c r="BR176" s="21">
        <f>EXP(-LN(2)/2)*BR175+(1-EXP(-LN(2)/2))/(LN(2)/2)*BL176*BO176*VLOOKUP('Données projet'!$B$11,Paramètres!$A$1:$I$89,3,0)*0.475*44/12</f>
        <v>2.1915652365151826E-22</v>
      </c>
      <c r="BS176" s="22">
        <f t="shared" si="169"/>
        <v>25.501121825044859</v>
      </c>
      <c r="BT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7" t="e">
        <f t="shared" si="119"/>
        <v>#NUM!</v>
      </c>
      <c r="CD176" s="57">
        <f ca="1">AVERAGE(OFFSET($CC$3,0,0,'Données projet'!$E$12+1,1))-AVERAGE(OFFSET($H$3,0,0,'Données projet'!$E$12+1,1))</f>
        <v>187.80389738728508</v>
      </c>
      <c r="CE176" s="57">
        <f t="shared" si="148"/>
        <v>439.28159165815265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7.2740969540148823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3.6958336509195707E-22</v>
      </c>
      <c r="CN176" s="22">
        <f t="shared" si="172"/>
        <v>7.2740969540148823</v>
      </c>
      <c r="CO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267</v>
      </c>
      <c r="CU176" s="17">
        <f>CT176*VLOOKUP('Données projet'!$B$13,Paramètres!$A$1:$I$89,3,0)*VLOOKUP('Données projet'!$B$13,Paramètres!$A$1:$I$89,5,0)</f>
        <v>241.58159999999998</v>
      </c>
      <c r="CV176" s="13">
        <f t="shared" si="173"/>
        <v>58.779689232021951</v>
      </c>
      <c r="CW176" s="20">
        <f t="shared" si="174"/>
        <v>523.12924541243819</v>
      </c>
      <c r="CX176" s="57">
        <f t="shared" si="122"/>
        <v>816.46257874577145</v>
      </c>
      <c r="CY176" s="57">
        <f ca="1">AVERAGE(OFFSET($CX$3,0,0,'Données projet'!$E$13+1,1))-AVERAGE(OFFSET($H$3,0,0,'Données projet'!$E$13+1,1))</f>
        <v>364.3481978218424</v>
      </c>
      <c r="CZ176" s="57">
        <f t="shared" si="150"/>
        <v>231.36959598460686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23.965928574709803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23.965928574709803</v>
      </c>
      <c r="DJ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255.00000000000006</v>
      </c>
      <c r="DP176" s="17">
        <f>DO176*VLOOKUP('Données projet'!$B$14,Paramètres!$A$1:$I$89,3,0)*VLOOKUP('Données projet'!$B$14,Paramètres!$A$1:$I$89,5,0)</f>
        <v>186.96600000000004</v>
      </c>
      <c r="DQ176" s="13">
        <f t="shared" si="176"/>
        <v>46.868551400324648</v>
      </c>
      <c r="DR176" s="20">
        <f t="shared" si="177"/>
        <v>407.26184368889881</v>
      </c>
      <c r="DS176" s="57">
        <f t="shared" si="125"/>
        <v>700.59517702223206</v>
      </c>
      <c r="DT176" s="57">
        <f ca="1">AVERAGE(OFFSET($DS$3,0,0,'Données projet'!$E$14+1,1))-AVERAGE(OFFSET($H$3,0,0,'Données projet'!$E$14+1,1))</f>
        <v>239.25212250019609</v>
      </c>
      <c r="DU176" s="57">
        <f t="shared" si="152"/>
        <v>213.58492101729695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403.99999999999994</v>
      </c>
      <c r="EK176" s="17">
        <f>EJ176*VLOOKUP('Données projet'!$B$15,Paramètres!$A$1:$I$89,3,0)*VLOOKUP('Données projet'!$B$15,Paramètres!$A$1:$I$89,5,0)</f>
        <v>346.63200000000001</v>
      </c>
      <c r="EL176" s="13">
        <f t="shared" si="179"/>
        <v>80.868615263336864</v>
      </c>
      <c r="EM176" s="20">
        <f t="shared" si="180"/>
        <v>744.56357158364483</v>
      </c>
      <c r="EN176" s="57">
        <f t="shared" si="128"/>
        <v>1037.8969049169782</v>
      </c>
      <c r="EO176" s="57">
        <f ca="1">AVERAGE(OFFSET($EN$3,0,0,'Données projet'!$E$15+1,1))-AVERAGE(OFFSET($H$3,0,0,'Données projet'!$E$15+1,1))</f>
        <v>447.10969593632467</v>
      </c>
      <c r="EP176" s="57">
        <f t="shared" si="154"/>
        <v>256.77417912163997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34.832081664354774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34.832081664354774</v>
      </c>
      <c r="EZ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7" t="e">
        <f t="shared" si="131"/>
        <v>#N/A</v>
      </c>
      <c r="FJ176" s="57" t="e">
        <f ca="1">AVERAGE(OFFSET($FI$3,0,0,'Données projet'!$E$16+1,1))-AVERAGE(OFFSET($H$3,0,0,'Données projet'!$E$16+1,1))</f>
        <v>#N/A</v>
      </c>
      <c r="FK176" s="57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7" t="e">
        <f t="shared" si="134"/>
        <v>#N/A</v>
      </c>
      <c r="GE176" s="57" t="e">
        <f ca="1">AVERAGE(OFFSET($GD$3,0,0,'Données projet'!$E$17+1,1))-AVERAGE(OFFSET($H$3,0,0,'Données projet'!$E$17+1,1))</f>
        <v>#N/A</v>
      </c>
      <c r="GF176" s="57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7" t="e">
        <f t="shared" si="137"/>
        <v>#N/A</v>
      </c>
      <c r="GZ176" s="57" t="e">
        <f ca="1">AVERAGE(OFFSET($GY$3,0,0,'Données projet'!$E$18+1,1))-AVERAGE(OFFSET($H$3,0,0,'Données projet'!$E$18+1,1))</f>
        <v>#N/A</v>
      </c>
      <c r="HA176" s="57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0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4">
        <f t="shared" si="110"/>
        <v>256.66666666666669</v>
      </c>
      <c r="I177" s="6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636.99999999999977</v>
      </c>
      <c r="O177" s="13">
        <f>N177*VLOOKUP('Données projet'!$B$9,Paramètres!$A$1:$I$89,3,0)*VLOOKUP('Données projet'!$B$9,Paramètres!$A$1:$I$89,5,0)</f>
        <v>356.08299999999991</v>
      </c>
      <c r="P177" s="13">
        <f t="shared" si="141"/>
        <v>82.813805255716545</v>
      </c>
      <c r="Q177" s="20">
        <f t="shared" si="162"/>
        <v>764.41193582037283</v>
      </c>
      <c r="R177" s="57">
        <f t="shared" si="109"/>
        <v>1057.7452691537062</v>
      </c>
      <c r="S177" s="57">
        <f ca="1">AVERAGE(OFFSET($R$3,0,0,'Données projet'!$E$9+1,1))-AVERAGE(OFFSET($H$3,0,0,'Données projet'!$E$9+1,1))</f>
        <v>443.34220761968419</v>
      </c>
      <c r="T177" s="57">
        <f t="shared" si="142"/>
        <v>546.58234447298014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10.221931275309522</v>
      </c>
      <c r="AA177" s="21">
        <f>EXP(-LN(2)/25)*AA176+(1-EXP(-LN(2)/25))/(LN(2)/25)*Calculateur!V177*Calculateur!X177*VLOOKUP('Données projet'!$B$9,Paramètres!$A$1:$I$89,3,0)*0.475*44/12</f>
        <v>0.40480929919873543</v>
      </c>
      <c r="AB177" s="21">
        <f>EXP(-LN(2)/2)*AB176+(1-EXP(-LN(2)/2))/(LN(2)/2)*V177*Y177*VLOOKUP('Données projet'!$B$9,Paramètres!$A$1:$I$89,3,0)*0.475*44/12</f>
        <v>1.2794002461818369E-21</v>
      </c>
      <c r="AC177" s="22">
        <f t="shared" si="163"/>
        <v>10.626740574508258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911.99999999999898</v>
      </c>
      <c r="AJ177" s="13">
        <f>AI177*VLOOKUP('Données projet'!$B$10,Paramètres!$A$1:$I$89,3,0)*VLOOKUP('Données projet'!$B$10,Paramètres!$A$1:$I$89,5,0)</f>
        <v>426.81599999999946</v>
      </c>
      <c r="AK177" s="13">
        <f t="shared" si="164"/>
        <v>97.192496986872399</v>
      </c>
      <c r="AL177" s="20">
        <f t="shared" si="165"/>
        <v>912.64813225213504</v>
      </c>
      <c r="AM177" s="57">
        <f t="shared" si="113"/>
        <v>1205.9814655854684</v>
      </c>
      <c r="AN177" s="57">
        <f ca="1">AVERAGE(OFFSET($AM$3,0,0,'Données projet'!$E$10+1,1))-AVERAGE(OFFSET($H$3,0,0,'Données projet'!$E$10+1,1))</f>
        <v>524.3999528951972</v>
      </c>
      <c r="AO177" s="57">
        <f t="shared" si="144"/>
        <v>459.3547783500515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23.10005768164708</v>
      </c>
      <c r="AV177" s="21">
        <f>EXP(-LN(2)/25)*AV176+(1-EXP(-LN(2)/25))/(LN(2)/25)*Calculateur!AQ177*Calculateur!AS177*VLOOKUP('Données projet'!$B$10,Paramètres!$A$1:$I$89,3,0)*0.475*44/12</f>
        <v>0.98614210948947456</v>
      </c>
      <c r="AW177" s="21">
        <f>EXP(-LN(2)/2)*AW176+(1-EXP(-LN(2)/2))/(LN(2)/2)*AQ177*AT177*VLOOKUP('Données projet'!$B$10,Paramètres!$A$1:$I$89,3,0)*0.475*44/12</f>
        <v>2.5246676928192966E-22</v>
      </c>
      <c r="AX177" s="21">
        <f t="shared" si="166"/>
        <v>24.086199791136554</v>
      </c>
      <c r="AY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852.00000000000011</v>
      </c>
      <c r="BE177" s="13">
        <f>BD177*VLOOKUP('Données projet'!$B$11,Paramètres!$A$1:$I$89,3,0)*VLOOKUP('Données projet'!$B$11,Paramètres!$A$1:$I$89,5,0)</f>
        <v>409.81200000000013</v>
      </c>
      <c r="BF177" s="13">
        <f t="shared" si="167"/>
        <v>93.76308331402879</v>
      </c>
      <c r="BG177" s="20">
        <f t="shared" si="168"/>
        <v>877.05993677193362</v>
      </c>
      <c r="BH177" s="57">
        <f t="shared" si="116"/>
        <v>1170.393270105267</v>
      </c>
      <c r="BI177" s="57">
        <f ca="1">AVERAGE(OFFSET($BH$3,0,0,'Données projet'!$E$11+1,1))-AVERAGE(OFFSET($H$3,0,0,'Données projet'!$E$11+1,1))</f>
        <v>495.6473104257044</v>
      </c>
      <c r="BJ177" s="57">
        <f t="shared" si="146"/>
        <v>430.92527296485201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24.064597625130123</v>
      </c>
      <c r="BQ177" s="21">
        <f>EXP(-LN(2)/25)*BQ176+(1-EXP(-LN(2)/25))/(LN(2)/25)*Calculateur!BL177*Calculateur!BN177*VLOOKUP('Données projet'!$B$11,Paramètres!$A$1:$I$89,3,0)*0.475*44/12</f>
        <v>0.92907370037549919</v>
      </c>
      <c r="BR177" s="21">
        <f>EXP(-LN(2)/2)*BR176+(1-EXP(-LN(2)/2))/(LN(2)/2)*BL177*BO177*VLOOKUP('Données projet'!$B$11,Paramètres!$A$1:$I$89,3,0)*0.475*44/12</f>
        <v>1.5496706401525855E-22</v>
      </c>
      <c r="BS177" s="22">
        <f t="shared" si="169"/>
        <v>24.993671325505623</v>
      </c>
      <c r="BT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7" t="e">
        <f t="shared" si="119"/>
        <v>#NUM!</v>
      </c>
      <c r="CD177" s="57">
        <f ca="1">AVERAGE(OFFSET($CC$3,0,0,'Données projet'!$E$12+1,1))-AVERAGE(OFFSET($H$3,0,0,'Données projet'!$E$12+1,1))</f>
        <v>187.80389738728508</v>
      </c>
      <c r="CE177" s="57">
        <f t="shared" si="148"/>
        <v>439.28159165815265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7.1314563495076984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2.6133490367026639E-22</v>
      </c>
      <c r="CN177" s="22">
        <f t="shared" si="172"/>
        <v>7.1314563495076984</v>
      </c>
      <c r="CO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267</v>
      </c>
      <c r="CU177" s="17">
        <f>CT177*VLOOKUP('Données projet'!$B$13,Paramètres!$A$1:$I$89,3,0)*VLOOKUP('Données projet'!$B$13,Paramètres!$A$1:$I$89,5,0)</f>
        <v>241.58159999999998</v>
      </c>
      <c r="CV177" s="13">
        <f t="shared" si="173"/>
        <v>58.779689232021951</v>
      </c>
      <c r="CW177" s="20">
        <f t="shared" si="174"/>
        <v>523.12924541243819</v>
      </c>
      <c r="CX177" s="57">
        <f t="shared" si="122"/>
        <v>816.46257874577145</v>
      </c>
      <c r="CY177" s="57">
        <f ca="1">AVERAGE(OFFSET($CX$3,0,0,'Données projet'!$E$13+1,1))-AVERAGE(OFFSET($H$3,0,0,'Données projet'!$E$13+1,1))</f>
        <v>364.3481978218424</v>
      </c>
      <c r="CZ177" s="57">
        <f t="shared" si="150"/>
        <v>231.36959598460686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23.49597133313279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23.49597133313279</v>
      </c>
      <c r="DJ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255.00000000000006</v>
      </c>
      <c r="DP177" s="17">
        <f>DO177*VLOOKUP('Données projet'!$B$14,Paramètres!$A$1:$I$89,3,0)*VLOOKUP('Données projet'!$B$14,Paramètres!$A$1:$I$89,5,0)</f>
        <v>186.96600000000004</v>
      </c>
      <c r="DQ177" s="13">
        <f t="shared" si="176"/>
        <v>46.868551400324648</v>
      </c>
      <c r="DR177" s="20">
        <f t="shared" si="177"/>
        <v>407.26184368889881</v>
      </c>
      <c r="DS177" s="57">
        <f t="shared" si="125"/>
        <v>700.59517702223206</v>
      </c>
      <c r="DT177" s="57">
        <f ca="1">AVERAGE(OFFSET($DS$3,0,0,'Données projet'!$E$14+1,1))-AVERAGE(OFFSET($H$3,0,0,'Données projet'!$E$14+1,1))</f>
        <v>239.25212250019609</v>
      </c>
      <c r="DU177" s="57">
        <f t="shared" si="152"/>
        <v>213.58492101729695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403.99999999999994</v>
      </c>
      <c r="EK177" s="17">
        <f>EJ177*VLOOKUP('Données projet'!$B$15,Paramètres!$A$1:$I$89,3,0)*VLOOKUP('Données projet'!$B$15,Paramètres!$A$1:$I$89,5,0)</f>
        <v>346.63200000000001</v>
      </c>
      <c r="EL177" s="13">
        <f t="shared" si="179"/>
        <v>80.868615263336864</v>
      </c>
      <c r="EM177" s="20">
        <f t="shared" si="180"/>
        <v>744.56357158364483</v>
      </c>
      <c r="EN177" s="57">
        <f t="shared" si="128"/>
        <v>1037.8969049169782</v>
      </c>
      <c r="EO177" s="57">
        <f ca="1">AVERAGE(OFFSET($EN$3,0,0,'Données projet'!$E$15+1,1))-AVERAGE(OFFSET($H$3,0,0,'Données projet'!$E$15+1,1))</f>
        <v>447.10969593632467</v>
      </c>
      <c r="EP177" s="57">
        <f t="shared" si="154"/>
        <v>256.77417912163997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34.149045788388776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34.149045788388776</v>
      </c>
      <c r="EZ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7" t="e">
        <f t="shared" si="131"/>
        <v>#N/A</v>
      </c>
      <c r="FJ177" s="57" t="e">
        <f ca="1">AVERAGE(OFFSET($FI$3,0,0,'Données projet'!$E$16+1,1))-AVERAGE(OFFSET($H$3,0,0,'Données projet'!$E$16+1,1))</f>
        <v>#N/A</v>
      </c>
      <c r="FK177" s="57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7" t="e">
        <f t="shared" si="134"/>
        <v>#N/A</v>
      </c>
      <c r="GE177" s="57" t="e">
        <f ca="1">AVERAGE(OFFSET($GD$3,0,0,'Données projet'!$E$17+1,1))-AVERAGE(OFFSET($H$3,0,0,'Données projet'!$E$17+1,1))</f>
        <v>#N/A</v>
      </c>
      <c r="GF177" s="57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7" t="e">
        <f t="shared" si="137"/>
        <v>#N/A</v>
      </c>
      <c r="GZ177" s="57" t="e">
        <f ca="1">AVERAGE(OFFSET($GY$3,0,0,'Données projet'!$E$18+1,1))-AVERAGE(OFFSET($H$3,0,0,'Données projet'!$E$18+1,1))</f>
        <v>#N/A</v>
      </c>
      <c r="HA177" s="57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0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4">
        <f t="shared" si="110"/>
        <v>256.66666666666669</v>
      </c>
      <c r="I178" s="6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636.99999999999977</v>
      </c>
      <c r="O178" s="13">
        <f>N178*VLOOKUP('Données projet'!$B$9,Paramètres!$A$1:$I$89,3,0)*VLOOKUP('Données projet'!$B$9,Paramètres!$A$1:$I$89,5,0)</f>
        <v>356.08299999999991</v>
      </c>
      <c r="P178" s="13">
        <f t="shared" si="141"/>
        <v>82.813805255716545</v>
      </c>
      <c r="Q178" s="20">
        <f t="shared" si="162"/>
        <v>764.41193582037283</v>
      </c>
      <c r="R178" s="57">
        <f t="shared" si="109"/>
        <v>1057.7452691537062</v>
      </c>
      <c r="S178" s="57">
        <f ca="1">AVERAGE(OFFSET($R$3,0,0,'Données projet'!$E$9+1,1))-AVERAGE(OFFSET($H$3,0,0,'Données projet'!$E$9+1,1))</f>
        <v>443.34220761968419</v>
      </c>
      <c r="T178" s="57">
        <f t="shared" si="142"/>
        <v>546.58234447298014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10.021485437763149</v>
      </c>
      <c r="AA178" s="21">
        <f>EXP(-LN(2)/25)*AA177+(1-EXP(-LN(2)/25))/(LN(2)/25)*Calculateur!V178*Calculateur!X178*VLOOKUP('Données projet'!$B$9,Paramètres!$A$1:$I$89,3,0)*0.475*44/12</f>
        <v>0.39373976762415019</v>
      </c>
      <c r="AB178" s="21">
        <f>EXP(-LN(2)/2)*AB177+(1-EXP(-LN(2)/2))/(LN(2)/2)*V178*Y178*VLOOKUP('Données projet'!$B$9,Paramètres!$A$1:$I$89,3,0)*0.475*44/12</f>
        <v>9.0467258992691515E-22</v>
      </c>
      <c r="AC178" s="22">
        <f t="shared" si="163"/>
        <v>10.4152252053873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911.99999999999898</v>
      </c>
      <c r="AJ178" s="13">
        <f>AI178*VLOOKUP('Données projet'!$B$10,Paramètres!$A$1:$I$89,3,0)*VLOOKUP('Données projet'!$B$10,Paramètres!$A$1:$I$89,5,0)</f>
        <v>426.81599999999946</v>
      </c>
      <c r="AK178" s="13">
        <f t="shared" si="164"/>
        <v>97.192496986872399</v>
      </c>
      <c r="AL178" s="20">
        <f t="shared" si="165"/>
        <v>912.64813225213504</v>
      </c>
      <c r="AM178" s="57">
        <f t="shared" si="113"/>
        <v>1205.9814655854684</v>
      </c>
      <c r="AN178" s="57">
        <f ca="1">AVERAGE(OFFSET($AM$3,0,0,'Données projet'!$E$10+1,1))-AVERAGE(OFFSET($H$3,0,0,'Données projet'!$E$10+1,1))</f>
        <v>524.3999528951972</v>
      </c>
      <c r="AO178" s="57">
        <f t="shared" si="144"/>
        <v>459.3547783500515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22.64707964015393</v>
      </c>
      <c r="AV178" s="21">
        <f>EXP(-LN(2)/25)*AV177+(1-EXP(-LN(2)/25))/(LN(2)/25)*Calculateur!AQ178*Calculateur!AS178*VLOOKUP('Données projet'!$B$10,Paramètres!$A$1:$I$89,3,0)*0.475*44/12</f>
        <v>0.95917600164652517</v>
      </c>
      <c r="AW178" s="21">
        <f>EXP(-LN(2)/2)*AW177+(1-EXP(-LN(2)/2))/(LN(2)/2)*AQ178*AT178*VLOOKUP('Données projet'!$B$10,Paramètres!$A$1:$I$89,3,0)*0.475*44/12</f>
        <v>1.7852096458351202E-22</v>
      </c>
      <c r="AX178" s="21">
        <f t="shared" si="166"/>
        <v>23.606255641800455</v>
      </c>
      <c r="AY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852.00000000000011</v>
      </c>
      <c r="BE178" s="13">
        <f>BD178*VLOOKUP('Données projet'!$B$11,Paramètres!$A$1:$I$89,3,0)*VLOOKUP('Données projet'!$B$11,Paramètres!$A$1:$I$89,5,0)</f>
        <v>409.81200000000013</v>
      </c>
      <c r="BF178" s="13">
        <f t="shared" si="167"/>
        <v>93.76308331402879</v>
      </c>
      <c r="BG178" s="20">
        <f t="shared" si="168"/>
        <v>877.05993677193362</v>
      </c>
      <c r="BH178" s="57">
        <f t="shared" si="116"/>
        <v>1170.393270105267</v>
      </c>
      <c r="BI178" s="57">
        <f ca="1">AVERAGE(OFFSET($BH$3,0,0,'Données projet'!$E$11+1,1))-AVERAGE(OFFSET($H$3,0,0,'Données projet'!$E$11+1,1))</f>
        <v>495.6473104257044</v>
      </c>
      <c r="BJ178" s="57">
        <f t="shared" si="146"/>
        <v>430.92527296485201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23.592705543656546</v>
      </c>
      <c r="BQ178" s="21">
        <f>EXP(-LN(2)/25)*BQ177+(1-EXP(-LN(2)/25))/(LN(2)/25)*Calculateur!BL178*Calculateur!BN178*VLOOKUP('Données projet'!$B$11,Paramètres!$A$1:$I$89,3,0)*0.475*44/12</f>
        <v>0.90366813118086864</v>
      </c>
      <c r="BR178" s="21">
        <f>EXP(-LN(2)/2)*BR177+(1-EXP(-LN(2)/2))/(LN(2)/2)*BL178*BO178*VLOOKUP('Données projet'!$B$11,Paramètres!$A$1:$I$89,3,0)*0.475*44/12</f>
        <v>1.0957826182575913E-22</v>
      </c>
      <c r="BS178" s="22">
        <f t="shared" si="169"/>
        <v>24.496373674837415</v>
      </c>
      <c r="BT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7" t="e">
        <f t="shared" si="119"/>
        <v>#NUM!</v>
      </c>
      <c r="CD178" s="57">
        <f ca="1">AVERAGE(OFFSET($CC$3,0,0,'Données projet'!$E$12+1,1))-AVERAGE(OFFSET($H$3,0,0,'Données projet'!$E$12+1,1))</f>
        <v>187.80389738728508</v>
      </c>
      <c r="CE178" s="57">
        <f t="shared" si="148"/>
        <v>439.28159165815265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6.9916128402527224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1.8479168254597854E-22</v>
      </c>
      <c r="CN178" s="22">
        <f t="shared" si="172"/>
        <v>6.9916128402527224</v>
      </c>
      <c r="CO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267</v>
      </c>
      <c r="CU178" s="17">
        <f>CT178*VLOOKUP('Données projet'!$B$13,Paramètres!$A$1:$I$89,3,0)*VLOOKUP('Données projet'!$B$13,Paramètres!$A$1:$I$89,5,0)</f>
        <v>241.58159999999998</v>
      </c>
      <c r="CV178" s="13">
        <f t="shared" si="173"/>
        <v>58.779689232021951</v>
      </c>
      <c r="CW178" s="20">
        <f t="shared" si="174"/>
        <v>523.12924541243819</v>
      </c>
      <c r="CX178" s="57">
        <f t="shared" si="122"/>
        <v>816.46257874577145</v>
      </c>
      <c r="CY178" s="57">
        <f ca="1">AVERAGE(OFFSET($CX$3,0,0,'Données projet'!$E$13+1,1))-AVERAGE(OFFSET($H$3,0,0,'Données projet'!$E$13+1,1))</f>
        <v>364.3481978218424</v>
      </c>
      <c r="CZ178" s="57">
        <f t="shared" si="150"/>
        <v>231.36959598460686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23.035229666417489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23.035229666417489</v>
      </c>
      <c r="DJ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255.00000000000006</v>
      </c>
      <c r="DP178" s="17">
        <f>DO178*VLOOKUP('Données projet'!$B$14,Paramètres!$A$1:$I$89,3,0)*VLOOKUP('Données projet'!$B$14,Paramètres!$A$1:$I$89,5,0)</f>
        <v>186.96600000000004</v>
      </c>
      <c r="DQ178" s="13">
        <f t="shared" si="176"/>
        <v>46.868551400324648</v>
      </c>
      <c r="DR178" s="20">
        <f t="shared" si="177"/>
        <v>407.26184368889881</v>
      </c>
      <c r="DS178" s="57">
        <f t="shared" si="125"/>
        <v>700.59517702223206</v>
      </c>
      <c r="DT178" s="57">
        <f ca="1">AVERAGE(OFFSET($DS$3,0,0,'Données projet'!$E$14+1,1))-AVERAGE(OFFSET($H$3,0,0,'Données projet'!$E$14+1,1))</f>
        <v>239.25212250019609</v>
      </c>
      <c r="DU178" s="57">
        <f t="shared" si="152"/>
        <v>213.58492101729695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403.99999999999994</v>
      </c>
      <c r="EK178" s="17">
        <f>EJ178*VLOOKUP('Données projet'!$B$15,Paramètres!$A$1:$I$89,3,0)*VLOOKUP('Données projet'!$B$15,Paramètres!$A$1:$I$89,5,0)</f>
        <v>346.63200000000001</v>
      </c>
      <c r="EL178" s="13">
        <f t="shared" si="179"/>
        <v>80.868615263336864</v>
      </c>
      <c r="EM178" s="20">
        <f t="shared" si="180"/>
        <v>744.56357158364483</v>
      </c>
      <c r="EN178" s="57">
        <f t="shared" si="128"/>
        <v>1037.8969049169782</v>
      </c>
      <c r="EO178" s="57">
        <f ca="1">AVERAGE(OFFSET($EN$3,0,0,'Données projet'!$E$15+1,1))-AVERAGE(OFFSET($H$3,0,0,'Données projet'!$E$15+1,1))</f>
        <v>447.10969593632467</v>
      </c>
      <c r="EP178" s="57">
        <f t="shared" si="154"/>
        <v>256.77417912163997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33.479403829339724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33.479403829339724</v>
      </c>
      <c r="EZ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7" t="e">
        <f t="shared" si="131"/>
        <v>#N/A</v>
      </c>
      <c r="FJ178" s="57" t="e">
        <f ca="1">AVERAGE(OFFSET($FI$3,0,0,'Données projet'!$E$16+1,1))-AVERAGE(OFFSET($H$3,0,0,'Données projet'!$E$16+1,1))</f>
        <v>#N/A</v>
      </c>
      <c r="FK178" s="57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7" t="e">
        <f t="shared" si="134"/>
        <v>#N/A</v>
      </c>
      <c r="GE178" s="57" t="e">
        <f ca="1">AVERAGE(OFFSET($GD$3,0,0,'Données projet'!$E$17+1,1))-AVERAGE(OFFSET($H$3,0,0,'Données projet'!$E$17+1,1))</f>
        <v>#N/A</v>
      </c>
      <c r="GF178" s="57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7" t="e">
        <f t="shared" si="137"/>
        <v>#N/A</v>
      </c>
      <c r="GZ178" s="57" t="e">
        <f ca="1">AVERAGE(OFFSET($GY$3,0,0,'Données projet'!$E$18+1,1))-AVERAGE(OFFSET($H$3,0,0,'Données projet'!$E$18+1,1))</f>
        <v>#N/A</v>
      </c>
      <c r="HA178" s="57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0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4">
        <f t="shared" si="110"/>
        <v>256.66666666666669</v>
      </c>
      <c r="I179" s="6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636.99999999999977</v>
      </c>
      <c r="O179" s="13">
        <f>N179*VLOOKUP('Données projet'!$B$9,Paramètres!$A$1:$I$89,3,0)*VLOOKUP('Données projet'!$B$9,Paramètres!$A$1:$I$89,5,0)</f>
        <v>356.08299999999991</v>
      </c>
      <c r="P179" s="13">
        <f t="shared" si="141"/>
        <v>82.813805255716545</v>
      </c>
      <c r="Q179" s="20">
        <f t="shared" si="162"/>
        <v>764.41193582037283</v>
      </c>
      <c r="R179" s="57">
        <f t="shared" si="109"/>
        <v>1057.7452691537062</v>
      </c>
      <c r="S179" s="57">
        <f ca="1">AVERAGE(OFFSET($R$3,0,0,'Données projet'!$E$9+1,1))-AVERAGE(OFFSET($H$3,0,0,'Données projet'!$E$9+1,1))</f>
        <v>443.34220761968419</v>
      </c>
      <c r="T179" s="57">
        <f t="shared" si="142"/>
        <v>546.58234447298014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9.8249702208311707</v>
      </c>
      <c r="AA179" s="21">
        <f>EXP(-LN(2)/25)*AA178+(1-EXP(-LN(2)/25))/(LN(2)/25)*Calculateur!V179*Calculateur!X179*VLOOKUP('Données projet'!$B$9,Paramètres!$A$1:$I$89,3,0)*0.475*44/12</f>
        <v>0.38297293297259333</v>
      </c>
      <c r="AB179" s="21">
        <f>EXP(-LN(2)/2)*AB178+(1-EXP(-LN(2)/2))/(LN(2)/2)*V179*Y179*VLOOKUP('Données projet'!$B$9,Paramètres!$A$1:$I$89,3,0)*0.475*44/12</f>
        <v>6.3970012309091844E-22</v>
      </c>
      <c r="AC179" s="22">
        <f t="shared" si="163"/>
        <v>10.207943153803765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911.99999999999898</v>
      </c>
      <c r="AJ179" s="13">
        <f>AI179*VLOOKUP('Données projet'!$B$10,Paramètres!$A$1:$I$89,3,0)*VLOOKUP('Données projet'!$B$10,Paramètres!$A$1:$I$89,5,0)</f>
        <v>426.81599999999946</v>
      </c>
      <c r="AK179" s="13">
        <f t="shared" si="164"/>
        <v>97.192496986872399</v>
      </c>
      <c r="AL179" s="20">
        <f t="shared" si="165"/>
        <v>912.64813225213504</v>
      </c>
      <c r="AM179" s="57">
        <f t="shared" si="113"/>
        <v>1205.9814655854684</v>
      </c>
      <c r="AN179" s="57">
        <f ca="1">AVERAGE(OFFSET($AM$3,0,0,'Données projet'!$E$10+1,1))-AVERAGE(OFFSET($H$3,0,0,'Données projet'!$E$10+1,1))</f>
        <v>524.3999528951972</v>
      </c>
      <c r="AO179" s="57">
        <f t="shared" si="144"/>
        <v>459.3547783500515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22.202984221765135</v>
      </c>
      <c r="AV179" s="21">
        <f>EXP(-LN(2)/25)*AV178+(1-EXP(-LN(2)/25))/(LN(2)/25)*Calculateur!AQ179*Calculateur!AS179*VLOOKUP('Données projet'!$B$10,Paramètres!$A$1:$I$89,3,0)*0.475*44/12</f>
        <v>0.93294728344062727</v>
      </c>
      <c r="AW179" s="21">
        <f>EXP(-LN(2)/2)*AW178+(1-EXP(-LN(2)/2))/(LN(2)/2)*AQ179*AT179*VLOOKUP('Données projet'!$B$10,Paramètres!$A$1:$I$89,3,0)*0.475*44/12</f>
        <v>1.2623338464096483E-22</v>
      </c>
      <c r="AX179" s="21">
        <f t="shared" si="166"/>
        <v>23.135931505205761</v>
      </c>
      <c r="AY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852.00000000000011</v>
      </c>
      <c r="BE179" s="13">
        <f>BD179*VLOOKUP('Données projet'!$B$11,Paramètres!$A$1:$I$89,3,0)*VLOOKUP('Données projet'!$B$11,Paramètres!$A$1:$I$89,5,0)</f>
        <v>409.81200000000013</v>
      </c>
      <c r="BF179" s="13">
        <f t="shared" si="167"/>
        <v>93.76308331402879</v>
      </c>
      <c r="BG179" s="20">
        <f t="shared" si="168"/>
        <v>877.05993677193362</v>
      </c>
      <c r="BH179" s="57">
        <f t="shared" si="116"/>
        <v>1170.393270105267</v>
      </c>
      <c r="BI179" s="57">
        <f ca="1">AVERAGE(OFFSET($BH$3,0,0,'Données projet'!$E$11+1,1))-AVERAGE(OFFSET($H$3,0,0,'Données projet'!$E$11+1,1))</f>
        <v>495.6473104257044</v>
      </c>
      <c r="BJ179" s="57">
        <f t="shared" si="146"/>
        <v>430.92527296485201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23.130066978074915</v>
      </c>
      <c r="BQ179" s="21">
        <f>EXP(-LN(2)/25)*BQ178+(1-EXP(-LN(2)/25))/(LN(2)/25)*Calculateur!BL179*Calculateur!BN179*VLOOKUP('Données projet'!$B$11,Paramètres!$A$1:$I$89,3,0)*0.475*44/12</f>
        <v>0.87895727861188611</v>
      </c>
      <c r="BR179" s="21">
        <f>EXP(-LN(2)/2)*BR178+(1-EXP(-LN(2)/2))/(LN(2)/2)*BL179*BO179*VLOOKUP('Données projet'!$B$11,Paramètres!$A$1:$I$89,3,0)*0.475*44/12</f>
        <v>7.7483532007629273E-23</v>
      </c>
      <c r="BS179" s="22">
        <f t="shared" si="169"/>
        <v>24.0090242566868</v>
      </c>
      <c r="BT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7" t="e">
        <f t="shared" si="119"/>
        <v>#NUM!</v>
      </c>
      <c r="CD179" s="57">
        <f ca="1">AVERAGE(OFFSET($CC$3,0,0,'Données projet'!$E$12+1,1))-AVERAGE(OFFSET($H$3,0,0,'Données projet'!$E$12+1,1))</f>
        <v>187.80389738728508</v>
      </c>
      <c r="CE179" s="57">
        <f t="shared" si="148"/>
        <v>439.28159165815265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6.8545115769181182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1.306674518351332E-22</v>
      </c>
      <c r="CN179" s="22">
        <f t="shared" si="172"/>
        <v>6.8545115769181182</v>
      </c>
      <c r="CO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267</v>
      </c>
      <c r="CU179" s="17">
        <f>CT179*VLOOKUP('Données projet'!$B$13,Paramètres!$A$1:$I$89,3,0)*VLOOKUP('Données projet'!$B$13,Paramètres!$A$1:$I$89,5,0)</f>
        <v>241.58159999999998</v>
      </c>
      <c r="CV179" s="13">
        <f t="shared" si="173"/>
        <v>58.779689232021951</v>
      </c>
      <c r="CW179" s="20">
        <f t="shared" si="174"/>
        <v>523.12924541243819</v>
      </c>
      <c r="CX179" s="57">
        <f t="shared" si="122"/>
        <v>816.46257874577145</v>
      </c>
      <c r="CY179" s="57">
        <f ca="1">AVERAGE(OFFSET($CX$3,0,0,'Données projet'!$E$13+1,1))-AVERAGE(OFFSET($H$3,0,0,'Données projet'!$E$13+1,1))</f>
        <v>364.3481978218424</v>
      </c>
      <c r="CZ179" s="57">
        <f t="shared" si="150"/>
        <v>231.36959598460686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22.583522862761807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22.583522862761807</v>
      </c>
      <c r="DJ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255.00000000000006</v>
      </c>
      <c r="DP179" s="17">
        <f>DO179*VLOOKUP('Données projet'!$B$14,Paramètres!$A$1:$I$89,3,0)*VLOOKUP('Données projet'!$B$14,Paramètres!$A$1:$I$89,5,0)</f>
        <v>186.96600000000004</v>
      </c>
      <c r="DQ179" s="13">
        <f t="shared" si="176"/>
        <v>46.868551400324648</v>
      </c>
      <c r="DR179" s="20">
        <f t="shared" si="177"/>
        <v>407.26184368889881</v>
      </c>
      <c r="DS179" s="57">
        <f t="shared" si="125"/>
        <v>700.59517702223206</v>
      </c>
      <c r="DT179" s="57">
        <f ca="1">AVERAGE(OFFSET($DS$3,0,0,'Données projet'!$E$14+1,1))-AVERAGE(OFFSET($H$3,0,0,'Données projet'!$E$14+1,1))</f>
        <v>239.25212250019609</v>
      </c>
      <c r="DU179" s="57">
        <f t="shared" si="152"/>
        <v>213.58492101729695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403.99999999999994</v>
      </c>
      <c r="EK179" s="17">
        <f>EJ179*VLOOKUP('Données projet'!$B$15,Paramètres!$A$1:$I$89,3,0)*VLOOKUP('Données projet'!$B$15,Paramètres!$A$1:$I$89,5,0)</f>
        <v>346.63200000000001</v>
      </c>
      <c r="EL179" s="13">
        <f t="shared" si="179"/>
        <v>80.868615263336864</v>
      </c>
      <c r="EM179" s="20">
        <f t="shared" si="180"/>
        <v>744.56357158364483</v>
      </c>
      <c r="EN179" s="57">
        <f t="shared" si="128"/>
        <v>1037.8969049169782</v>
      </c>
      <c r="EO179" s="57">
        <f ca="1">AVERAGE(OFFSET($EN$3,0,0,'Données projet'!$E$15+1,1))-AVERAGE(OFFSET($H$3,0,0,'Données projet'!$E$15+1,1))</f>
        <v>447.10969593632467</v>
      </c>
      <c r="EP179" s="57">
        <f t="shared" si="154"/>
        <v>256.77417912163997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32.822893140666359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32.822893140666359</v>
      </c>
      <c r="EZ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7" t="e">
        <f t="shared" si="131"/>
        <v>#N/A</v>
      </c>
      <c r="FJ179" s="57" t="e">
        <f ca="1">AVERAGE(OFFSET($FI$3,0,0,'Données projet'!$E$16+1,1))-AVERAGE(OFFSET($H$3,0,0,'Données projet'!$E$16+1,1))</f>
        <v>#N/A</v>
      </c>
      <c r="FK179" s="57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7" t="e">
        <f t="shared" si="134"/>
        <v>#N/A</v>
      </c>
      <c r="GE179" s="57" t="e">
        <f ca="1">AVERAGE(OFFSET($GD$3,0,0,'Données projet'!$E$17+1,1))-AVERAGE(OFFSET($H$3,0,0,'Données projet'!$E$17+1,1))</f>
        <v>#N/A</v>
      </c>
      <c r="GF179" s="57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7" t="e">
        <f t="shared" si="137"/>
        <v>#N/A</v>
      </c>
      <c r="GZ179" s="57" t="e">
        <f ca="1">AVERAGE(OFFSET($GY$3,0,0,'Données projet'!$E$18+1,1))-AVERAGE(OFFSET($H$3,0,0,'Données projet'!$E$18+1,1))</f>
        <v>#N/A</v>
      </c>
      <c r="HA179" s="57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0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4">
        <f t="shared" si="110"/>
        <v>256.66666666666669</v>
      </c>
      <c r="I180" s="6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636.99999999999977</v>
      </c>
      <c r="O180" s="13">
        <f>N180*VLOOKUP('Données projet'!$B$9,Paramètres!$A$1:$I$89,3,0)*VLOOKUP('Données projet'!$B$9,Paramètres!$A$1:$I$89,5,0)</f>
        <v>356.08299999999991</v>
      </c>
      <c r="P180" s="13">
        <f t="shared" si="141"/>
        <v>82.813805255716545</v>
      </c>
      <c r="Q180" s="20">
        <f t="shared" si="162"/>
        <v>764.41193582037283</v>
      </c>
      <c r="R180" s="57">
        <f t="shared" si="109"/>
        <v>1057.7452691537062</v>
      </c>
      <c r="S180" s="57">
        <f ca="1">AVERAGE(OFFSET($R$3,0,0,'Données projet'!$E$9+1,1))-AVERAGE(OFFSET($H$3,0,0,'Données projet'!$E$9+1,1))</f>
        <v>443.34220761968419</v>
      </c>
      <c r="T180" s="57">
        <f t="shared" si="142"/>
        <v>546.58234447298014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9.6323085474407826</v>
      </c>
      <c r="AA180" s="21">
        <f>EXP(-LN(2)/25)*AA179+(1-EXP(-LN(2)/25))/(LN(2)/25)*Calculateur!V180*Calculateur!X180*VLOOKUP('Données projet'!$B$9,Paramètres!$A$1:$I$89,3,0)*0.475*44/12</f>
        <v>0.37250051798078654</v>
      </c>
      <c r="AB180" s="21">
        <f>EXP(-LN(2)/2)*AB179+(1-EXP(-LN(2)/2))/(LN(2)/2)*V180*Y180*VLOOKUP('Données projet'!$B$9,Paramètres!$A$1:$I$89,3,0)*0.475*44/12</f>
        <v>4.5233629496345758E-22</v>
      </c>
      <c r="AC180" s="22">
        <f t="shared" si="163"/>
        <v>10.004809065421568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911.99999999999898</v>
      </c>
      <c r="AJ180" s="13">
        <f>AI180*VLOOKUP('Données projet'!$B$10,Paramètres!$A$1:$I$89,3,0)*VLOOKUP('Données projet'!$B$10,Paramètres!$A$1:$I$89,5,0)</f>
        <v>426.81599999999946</v>
      </c>
      <c r="AK180" s="13">
        <f t="shared" si="164"/>
        <v>97.192496986872399</v>
      </c>
      <c r="AL180" s="20">
        <f t="shared" si="165"/>
        <v>912.64813225213504</v>
      </c>
      <c r="AM180" s="57">
        <f t="shared" si="113"/>
        <v>1205.9814655854684</v>
      </c>
      <c r="AN180" s="57">
        <f ca="1">AVERAGE(OFFSET($AM$3,0,0,'Données projet'!$E$10+1,1))-AVERAGE(OFFSET($H$3,0,0,'Données projet'!$E$10+1,1))</f>
        <v>524.3999528951972</v>
      </c>
      <c r="AO180" s="57">
        <f t="shared" si="144"/>
        <v>459.3547783500515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21.767597243659488</v>
      </c>
      <c r="AV180" s="21">
        <f>EXP(-LN(2)/25)*AV179+(1-EXP(-LN(2)/25))/(LN(2)/25)*Calculateur!AQ180*Calculateur!AS180*VLOOKUP('Données projet'!$B$10,Paramètres!$A$1:$I$89,3,0)*0.475*44/12</f>
        <v>0.907435790913378</v>
      </c>
      <c r="AW180" s="21">
        <f>EXP(-LN(2)/2)*AW179+(1-EXP(-LN(2)/2))/(LN(2)/2)*AQ180*AT180*VLOOKUP('Données projet'!$B$10,Paramètres!$A$1:$I$89,3,0)*0.475*44/12</f>
        <v>8.9260482291756008E-23</v>
      </c>
      <c r="AX180" s="21">
        <f t="shared" si="166"/>
        <v>22.675033034572866</v>
      </c>
      <c r="AY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852.00000000000011</v>
      </c>
      <c r="BE180" s="13">
        <f>BD180*VLOOKUP('Données projet'!$B$11,Paramètres!$A$1:$I$89,3,0)*VLOOKUP('Données projet'!$B$11,Paramètres!$A$1:$I$89,5,0)</f>
        <v>409.81200000000013</v>
      </c>
      <c r="BF180" s="13">
        <f t="shared" si="167"/>
        <v>93.76308331402879</v>
      </c>
      <c r="BG180" s="20">
        <f t="shared" si="168"/>
        <v>877.05993677193362</v>
      </c>
      <c r="BH180" s="57">
        <f t="shared" si="116"/>
        <v>1170.393270105267</v>
      </c>
      <c r="BI180" s="57">
        <f ca="1">AVERAGE(OFFSET($BH$3,0,0,'Données projet'!$E$11+1,1))-AVERAGE(OFFSET($H$3,0,0,'Données projet'!$E$11+1,1))</f>
        <v>495.6473104257044</v>
      </c>
      <c r="BJ180" s="57">
        <f t="shared" si="146"/>
        <v>430.92527296485201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22.676500472582678</v>
      </c>
      <c r="BQ180" s="21">
        <f>EXP(-LN(2)/25)*BQ179+(1-EXP(-LN(2)/25))/(LN(2)/25)*Calculateur!BL180*Calculateur!BN180*VLOOKUP('Données projet'!$B$11,Paramètres!$A$1:$I$89,3,0)*0.475*44/12</f>
        <v>0.85492214560588964</v>
      </c>
      <c r="BR180" s="21">
        <f>EXP(-LN(2)/2)*BR179+(1-EXP(-LN(2)/2))/(LN(2)/2)*BL180*BO180*VLOOKUP('Données projet'!$B$11,Paramètres!$A$1:$I$89,3,0)*0.475*44/12</f>
        <v>5.4789130912879564E-23</v>
      </c>
      <c r="BS180" s="22">
        <f t="shared" si="169"/>
        <v>23.531422618188568</v>
      </c>
      <c r="BT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7" t="e">
        <f t="shared" si="119"/>
        <v>#NUM!</v>
      </c>
      <c r="CD180" s="57">
        <f ca="1">AVERAGE(OFFSET($CC$3,0,0,'Données projet'!$E$12+1,1))-AVERAGE(OFFSET($H$3,0,0,'Données projet'!$E$12+1,1))</f>
        <v>187.80389738728508</v>
      </c>
      <c r="CE180" s="57">
        <f t="shared" si="148"/>
        <v>439.28159165815265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6.7200987857339927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9.2395841272989268E-23</v>
      </c>
      <c r="CN180" s="22">
        <f t="shared" si="172"/>
        <v>6.7200987857339927</v>
      </c>
      <c r="CO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267</v>
      </c>
      <c r="CU180" s="17">
        <f>CT180*VLOOKUP('Données projet'!$B$13,Paramètres!$A$1:$I$89,3,0)*VLOOKUP('Données projet'!$B$13,Paramètres!$A$1:$I$89,5,0)</f>
        <v>241.58159999999998</v>
      </c>
      <c r="CV180" s="13">
        <f t="shared" si="173"/>
        <v>58.779689232021951</v>
      </c>
      <c r="CW180" s="20">
        <f t="shared" si="174"/>
        <v>523.12924541243819</v>
      </c>
      <c r="CX180" s="57">
        <f t="shared" si="122"/>
        <v>816.46257874577145</v>
      </c>
      <c r="CY180" s="57">
        <f ca="1">AVERAGE(OFFSET($CX$3,0,0,'Données projet'!$E$13+1,1))-AVERAGE(OFFSET($H$3,0,0,'Données projet'!$E$13+1,1))</f>
        <v>364.3481978218424</v>
      </c>
      <c r="CZ180" s="57">
        <f t="shared" si="150"/>
        <v>231.36959598460686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22.140673754011868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22.140673754011868</v>
      </c>
      <c r="DJ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255.00000000000006</v>
      </c>
      <c r="DP180" s="17">
        <f>DO180*VLOOKUP('Données projet'!$B$14,Paramètres!$A$1:$I$89,3,0)*VLOOKUP('Données projet'!$B$14,Paramètres!$A$1:$I$89,5,0)</f>
        <v>186.96600000000004</v>
      </c>
      <c r="DQ180" s="13">
        <f t="shared" si="176"/>
        <v>46.868551400324648</v>
      </c>
      <c r="DR180" s="20">
        <f t="shared" si="177"/>
        <v>407.26184368889881</v>
      </c>
      <c r="DS180" s="57">
        <f t="shared" si="125"/>
        <v>700.59517702223206</v>
      </c>
      <c r="DT180" s="57">
        <f ca="1">AVERAGE(OFFSET($DS$3,0,0,'Données projet'!$E$14+1,1))-AVERAGE(OFFSET($H$3,0,0,'Données projet'!$E$14+1,1))</f>
        <v>239.25212250019609</v>
      </c>
      <c r="DU180" s="57">
        <f t="shared" si="152"/>
        <v>213.58492101729695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403.99999999999994</v>
      </c>
      <c r="EK180" s="17">
        <f>EJ180*VLOOKUP('Données projet'!$B$15,Paramètres!$A$1:$I$89,3,0)*VLOOKUP('Données projet'!$B$15,Paramètres!$A$1:$I$89,5,0)</f>
        <v>346.63200000000001</v>
      </c>
      <c r="EL180" s="13">
        <f t="shared" si="179"/>
        <v>80.868615263336864</v>
      </c>
      <c r="EM180" s="20">
        <f t="shared" si="180"/>
        <v>744.56357158364483</v>
      </c>
      <c r="EN180" s="57">
        <f t="shared" si="128"/>
        <v>1037.8969049169782</v>
      </c>
      <c r="EO180" s="57">
        <f ca="1">AVERAGE(OFFSET($EN$3,0,0,'Données projet'!$E$15+1,1))-AVERAGE(OFFSET($H$3,0,0,'Données projet'!$E$15+1,1))</f>
        <v>447.10969593632467</v>
      </c>
      <c r="EP180" s="57">
        <f t="shared" si="154"/>
        <v>256.77417912163997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32.179256226165897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32.179256226165897</v>
      </c>
      <c r="EZ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7" t="e">
        <f t="shared" si="131"/>
        <v>#N/A</v>
      </c>
      <c r="FJ180" s="57" t="e">
        <f ca="1">AVERAGE(OFFSET($FI$3,0,0,'Données projet'!$E$16+1,1))-AVERAGE(OFFSET($H$3,0,0,'Données projet'!$E$16+1,1))</f>
        <v>#N/A</v>
      </c>
      <c r="FK180" s="57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7" t="e">
        <f t="shared" si="134"/>
        <v>#N/A</v>
      </c>
      <c r="GE180" s="57" t="e">
        <f ca="1">AVERAGE(OFFSET($GD$3,0,0,'Données projet'!$E$17+1,1))-AVERAGE(OFFSET($H$3,0,0,'Données projet'!$E$17+1,1))</f>
        <v>#N/A</v>
      </c>
      <c r="GF180" s="57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7" t="e">
        <f t="shared" si="137"/>
        <v>#N/A</v>
      </c>
      <c r="GZ180" s="57" t="e">
        <f ca="1">AVERAGE(OFFSET($GY$3,0,0,'Données projet'!$E$18+1,1))-AVERAGE(OFFSET($H$3,0,0,'Données projet'!$E$18+1,1))</f>
        <v>#N/A</v>
      </c>
      <c r="HA180" s="57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0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4">
        <f t="shared" si="110"/>
        <v>256.66666666666669</v>
      </c>
      <c r="I181" s="6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636.99999999999977</v>
      </c>
      <c r="O181" s="13">
        <f>N181*VLOOKUP('Données projet'!$B$9,Paramètres!$A$1:$I$89,3,0)*VLOOKUP('Données projet'!$B$9,Paramètres!$A$1:$I$89,5,0)</f>
        <v>356.08299999999991</v>
      </c>
      <c r="P181" s="13">
        <f t="shared" si="141"/>
        <v>82.813805255716545</v>
      </c>
      <c r="Q181" s="20">
        <f t="shared" si="162"/>
        <v>764.41193582037283</v>
      </c>
      <c r="R181" s="57">
        <f t="shared" si="109"/>
        <v>1057.7452691537062</v>
      </c>
      <c r="S181" s="57">
        <f ca="1">AVERAGE(OFFSET($R$3,0,0,'Données projet'!$E$9+1,1))-AVERAGE(OFFSET($H$3,0,0,'Données projet'!$E$9+1,1))</f>
        <v>443.34220761968419</v>
      </c>
      <c r="T181" s="57">
        <f t="shared" si="142"/>
        <v>546.58234447298014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9.4434248519535622</v>
      </c>
      <c r="AA181" s="21">
        <f>EXP(-LN(2)/25)*AA180+(1-EXP(-LN(2)/25))/(LN(2)/25)*Calculateur!V181*Calculateur!X181*VLOOKUP('Données projet'!$B$9,Paramètres!$A$1:$I$89,3,0)*0.475*44/12</f>
        <v>0.36231447172765108</v>
      </c>
      <c r="AB181" s="21">
        <f>EXP(-LN(2)/2)*AB180+(1-EXP(-LN(2)/2))/(LN(2)/2)*V181*Y181*VLOOKUP('Données projet'!$B$9,Paramètres!$A$1:$I$89,3,0)*0.475*44/12</f>
        <v>3.1985006154545922E-22</v>
      </c>
      <c r="AC181" s="22">
        <f t="shared" si="163"/>
        <v>9.8057393236812125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911.99999999999898</v>
      </c>
      <c r="AJ181" s="13">
        <f>AI181*VLOOKUP('Données projet'!$B$10,Paramètres!$A$1:$I$89,3,0)*VLOOKUP('Données projet'!$B$10,Paramètres!$A$1:$I$89,5,0)</f>
        <v>426.81599999999946</v>
      </c>
      <c r="AK181" s="13">
        <f t="shared" si="164"/>
        <v>97.192496986872399</v>
      </c>
      <c r="AL181" s="20">
        <f t="shared" si="165"/>
        <v>912.64813225213504</v>
      </c>
      <c r="AM181" s="57">
        <f t="shared" si="113"/>
        <v>1205.9814655854684</v>
      </c>
      <c r="AN181" s="57">
        <f ca="1">AVERAGE(OFFSET($AM$3,0,0,'Données projet'!$E$10+1,1))-AVERAGE(OFFSET($H$3,0,0,'Données projet'!$E$10+1,1))</f>
        <v>524.3999528951972</v>
      </c>
      <c r="AO181" s="57">
        <f t="shared" si="144"/>
        <v>459.3547783500515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21.340747938634657</v>
      </c>
      <c r="AV181" s="21">
        <f>EXP(-LN(2)/25)*AV180+(1-EXP(-LN(2)/25))/(LN(2)/25)*Calculateur!AQ181*Calculateur!AS181*VLOOKUP('Données projet'!$B$10,Paramètres!$A$1:$I$89,3,0)*0.475*44/12</f>
        <v>0.88262191149087743</v>
      </c>
      <c r="AW181" s="21">
        <f>EXP(-LN(2)/2)*AW180+(1-EXP(-LN(2)/2))/(LN(2)/2)*AQ181*AT181*VLOOKUP('Données projet'!$B$10,Paramètres!$A$1:$I$89,3,0)*0.475*44/12</f>
        <v>6.3116692320482415E-23</v>
      </c>
      <c r="AX181" s="21">
        <f t="shared" si="166"/>
        <v>22.223369850125533</v>
      </c>
      <c r="AY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852.00000000000011</v>
      </c>
      <c r="BE181" s="13">
        <f>BD181*VLOOKUP('Données projet'!$B$11,Paramètres!$A$1:$I$89,3,0)*VLOOKUP('Données projet'!$B$11,Paramètres!$A$1:$I$89,5,0)</f>
        <v>409.81200000000013</v>
      </c>
      <c r="BF181" s="13">
        <f t="shared" si="167"/>
        <v>93.76308331402879</v>
      </c>
      <c r="BG181" s="20">
        <f t="shared" si="168"/>
        <v>877.05993677193362</v>
      </c>
      <c r="BH181" s="57">
        <f t="shared" si="116"/>
        <v>1170.393270105267</v>
      </c>
      <c r="BI181" s="57">
        <f ca="1">AVERAGE(OFFSET($BH$3,0,0,'Données projet'!$E$11+1,1))-AVERAGE(OFFSET($H$3,0,0,'Données projet'!$E$11+1,1))</f>
        <v>495.6473104257044</v>
      </c>
      <c r="BJ181" s="57">
        <f t="shared" si="146"/>
        <v>430.92527296485201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22.231828129614893</v>
      </c>
      <c r="BQ181" s="21">
        <f>EXP(-LN(2)/25)*BQ180+(1-EXP(-LN(2)/25))/(LN(2)/25)*Calculateur!BL181*Calculateur!BN181*VLOOKUP('Données projet'!$B$11,Paramètres!$A$1:$I$89,3,0)*0.475*44/12</f>
        <v>0.83154425457589487</v>
      </c>
      <c r="BR181" s="21">
        <f>EXP(-LN(2)/2)*BR180+(1-EXP(-LN(2)/2))/(LN(2)/2)*BL181*BO181*VLOOKUP('Données projet'!$B$11,Paramètres!$A$1:$I$89,3,0)*0.475*44/12</f>
        <v>3.8741766003814637E-23</v>
      </c>
      <c r="BS181" s="22">
        <f t="shared" si="169"/>
        <v>23.063372384190789</v>
      </c>
      <c r="BT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7" t="e">
        <f t="shared" si="119"/>
        <v>#NUM!</v>
      </c>
      <c r="CD181" s="57">
        <f ca="1">AVERAGE(OFFSET($CC$3,0,0,'Données projet'!$E$12+1,1))-AVERAGE(OFFSET($H$3,0,0,'Données projet'!$E$12+1,1))</f>
        <v>187.80389738728508</v>
      </c>
      <c r="CE181" s="57">
        <f t="shared" si="148"/>
        <v>439.28159165815265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6.5883217474012801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6.5333725917566598E-23</v>
      </c>
      <c r="CN181" s="22">
        <f t="shared" si="172"/>
        <v>6.5883217474012801</v>
      </c>
      <c r="CO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267</v>
      </c>
      <c r="CU181" s="17">
        <f>CT181*VLOOKUP('Données projet'!$B$13,Paramètres!$A$1:$I$89,3,0)*VLOOKUP('Données projet'!$B$13,Paramètres!$A$1:$I$89,5,0)</f>
        <v>241.58159999999998</v>
      </c>
      <c r="CV181" s="13">
        <f t="shared" si="173"/>
        <v>58.779689232021951</v>
      </c>
      <c r="CW181" s="20">
        <f t="shared" si="174"/>
        <v>523.12924541243819</v>
      </c>
      <c r="CX181" s="57">
        <f t="shared" si="122"/>
        <v>816.46257874577145</v>
      </c>
      <c r="CY181" s="57">
        <f ca="1">AVERAGE(OFFSET($CX$3,0,0,'Données projet'!$E$13+1,1))-AVERAGE(OFFSET($H$3,0,0,'Données projet'!$E$13+1,1))</f>
        <v>364.3481978218424</v>
      </c>
      <c r="CZ181" s="57">
        <f t="shared" si="150"/>
        <v>231.36959598460686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21.70650864617323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21.70650864617323</v>
      </c>
      <c r="DJ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255.00000000000006</v>
      </c>
      <c r="DP181" s="17">
        <f>DO181*VLOOKUP('Données projet'!$B$14,Paramètres!$A$1:$I$89,3,0)*VLOOKUP('Données projet'!$B$14,Paramètres!$A$1:$I$89,5,0)</f>
        <v>186.96600000000004</v>
      </c>
      <c r="DQ181" s="13">
        <f t="shared" si="176"/>
        <v>46.868551400324648</v>
      </c>
      <c r="DR181" s="20">
        <f t="shared" si="177"/>
        <v>407.26184368889881</v>
      </c>
      <c r="DS181" s="57">
        <f t="shared" si="125"/>
        <v>700.59517702223206</v>
      </c>
      <c r="DT181" s="57">
        <f ca="1">AVERAGE(OFFSET($DS$3,0,0,'Données projet'!$E$14+1,1))-AVERAGE(OFFSET($H$3,0,0,'Données projet'!$E$14+1,1))</f>
        <v>239.25212250019609</v>
      </c>
      <c r="DU181" s="57">
        <f t="shared" si="152"/>
        <v>213.58492101729695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403.99999999999994</v>
      </c>
      <c r="EK181" s="17">
        <f>EJ181*VLOOKUP('Données projet'!$B$15,Paramètres!$A$1:$I$89,3,0)*VLOOKUP('Données projet'!$B$15,Paramètres!$A$1:$I$89,5,0)</f>
        <v>346.63200000000001</v>
      </c>
      <c r="EL181" s="13">
        <f t="shared" si="179"/>
        <v>80.868615263336864</v>
      </c>
      <c r="EM181" s="20">
        <f t="shared" si="180"/>
        <v>744.56357158364483</v>
      </c>
      <c r="EN181" s="57">
        <f t="shared" si="128"/>
        <v>1037.8969049169782</v>
      </c>
      <c r="EO181" s="57">
        <f ca="1">AVERAGE(OFFSET($EN$3,0,0,'Données projet'!$E$15+1,1))-AVERAGE(OFFSET($H$3,0,0,'Données projet'!$E$15+1,1))</f>
        <v>447.10969593632467</v>
      </c>
      <c r="EP181" s="57">
        <f t="shared" si="154"/>
        <v>256.77417912163997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31.548240638979035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31.548240638979035</v>
      </c>
      <c r="EZ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7" t="e">
        <f t="shared" si="131"/>
        <v>#N/A</v>
      </c>
      <c r="FJ181" s="57" t="e">
        <f ca="1">AVERAGE(OFFSET($FI$3,0,0,'Données projet'!$E$16+1,1))-AVERAGE(OFFSET($H$3,0,0,'Données projet'!$E$16+1,1))</f>
        <v>#N/A</v>
      </c>
      <c r="FK181" s="57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7" t="e">
        <f t="shared" si="134"/>
        <v>#N/A</v>
      </c>
      <c r="GE181" s="57" t="e">
        <f ca="1">AVERAGE(OFFSET($GD$3,0,0,'Données projet'!$E$17+1,1))-AVERAGE(OFFSET($H$3,0,0,'Données projet'!$E$17+1,1))</f>
        <v>#N/A</v>
      </c>
      <c r="GF181" s="57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7" t="e">
        <f t="shared" si="137"/>
        <v>#N/A</v>
      </c>
      <c r="GZ181" s="57" t="e">
        <f ca="1">AVERAGE(OFFSET($GY$3,0,0,'Données projet'!$E$18+1,1))-AVERAGE(OFFSET($H$3,0,0,'Données projet'!$E$18+1,1))</f>
        <v>#N/A</v>
      </c>
      <c r="HA181" s="57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0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4">
        <f t="shared" si="110"/>
        <v>256.66666666666669</v>
      </c>
      <c r="I182" s="6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636.99999999999977</v>
      </c>
      <c r="O182" s="13">
        <f>N182*VLOOKUP('Données projet'!$B$9,Paramètres!$A$1:$I$89,3,0)*VLOOKUP('Données projet'!$B$9,Paramètres!$A$1:$I$89,5,0)</f>
        <v>356.08299999999991</v>
      </c>
      <c r="P182" s="13">
        <f t="shared" si="141"/>
        <v>82.813805255716545</v>
      </c>
      <c r="Q182" s="20">
        <f t="shared" si="162"/>
        <v>764.41193582037283</v>
      </c>
      <c r="R182" s="57">
        <f t="shared" si="109"/>
        <v>1057.7452691537062</v>
      </c>
      <c r="S182" s="57">
        <f ca="1">AVERAGE(OFFSET($R$3,0,0,'Données projet'!$E$9+1,1))-AVERAGE(OFFSET($H$3,0,0,'Données projet'!$E$9+1,1))</f>
        <v>443.34220761968419</v>
      </c>
      <c r="T182" s="57">
        <f t="shared" si="142"/>
        <v>546.58234447298014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9.258245050527167</v>
      </c>
      <c r="AA182" s="21">
        <f>EXP(-LN(2)/25)*AA181+(1-EXP(-LN(2)/25))/(LN(2)/25)*Calculateur!V182*Calculateur!X182*VLOOKUP('Données projet'!$B$9,Paramètres!$A$1:$I$89,3,0)*0.475*44/12</f>
        <v>0.35240696344496847</v>
      </c>
      <c r="AB182" s="21">
        <f>EXP(-LN(2)/2)*AB181+(1-EXP(-LN(2)/2))/(LN(2)/2)*V182*Y182*VLOOKUP('Données projet'!$B$9,Paramètres!$A$1:$I$89,3,0)*0.475*44/12</f>
        <v>2.2616814748172879E-22</v>
      </c>
      <c r="AC182" s="22">
        <f t="shared" si="163"/>
        <v>9.6106520139721354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911.99999999999898</v>
      </c>
      <c r="AJ182" s="13">
        <f>AI182*VLOOKUP('Données projet'!$B$10,Paramètres!$A$1:$I$89,3,0)*VLOOKUP('Données projet'!$B$10,Paramètres!$A$1:$I$89,5,0)</f>
        <v>426.81599999999946</v>
      </c>
      <c r="AK182" s="13">
        <f t="shared" si="164"/>
        <v>97.192496986872399</v>
      </c>
      <c r="AL182" s="20">
        <f t="shared" si="165"/>
        <v>912.64813225213504</v>
      </c>
      <c r="AM182" s="57">
        <f t="shared" si="113"/>
        <v>1205.9814655854684</v>
      </c>
      <c r="AN182" s="57">
        <f ca="1">AVERAGE(OFFSET($AM$3,0,0,'Données projet'!$E$10+1,1))-AVERAGE(OFFSET($H$3,0,0,'Données projet'!$E$10+1,1))</f>
        <v>524.3999528951972</v>
      </c>
      <c r="AO182" s="57">
        <f t="shared" si="144"/>
        <v>459.3547783500515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20.922268888128993</v>
      </c>
      <c r="AV182" s="21">
        <f>EXP(-LN(2)/25)*AV181+(1-EXP(-LN(2)/25))/(LN(2)/25)*Calculateur!AQ182*Calculateur!AS182*VLOOKUP('Données projet'!$B$10,Paramètres!$A$1:$I$89,3,0)*0.475*44/12</f>
        <v>0.85848656890609032</v>
      </c>
      <c r="AW182" s="21">
        <f>EXP(-LN(2)/2)*AW181+(1-EXP(-LN(2)/2))/(LN(2)/2)*AQ182*AT182*VLOOKUP('Données projet'!$B$10,Paramètres!$A$1:$I$89,3,0)*0.475*44/12</f>
        <v>4.4630241145878004E-23</v>
      </c>
      <c r="AX182" s="21">
        <f t="shared" si="166"/>
        <v>21.780755457035085</v>
      </c>
      <c r="AY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852.00000000000011</v>
      </c>
      <c r="BE182" s="13">
        <f>BD182*VLOOKUP('Données projet'!$B$11,Paramètres!$A$1:$I$89,3,0)*VLOOKUP('Données projet'!$B$11,Paramètres!$A$1:$I$89,5,0)</f>
        <v>409.81200000000013</v>
      </c>
      <c r="BF182" s="13">
        <f t="shared" si="167"/>
        <v>93.76308331402879</v>
      </c>
      <c r="BG182" s="20">
        <f t="shared" si="168"/>
        <v>877.05993677193362</v>
      </c>
      <c r="BH182" s="57">
        <f t="shared" si="116"/>
        <v>1170.393270105267</v>
      </c>
      <c r="BI182" s="57">
        <f ca="1">AVERAGE(OFFSET($BH$3,0,0,'Données projet'!$E$11+1,1))-AVERAGE(OFFSET($H$3,0,0,'Données projet'!$E$11+1,1))</f>
        <v>495.6473104257044</v>
      </c>
      <c r="BJ182" s="57">
        <f t="shared" si="146"/>
        <v>430.92527296485201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21.795875540069357</v>
      </c>
      <c r="BQ182" s="21">
        <f>EXP(-LN(2)/25)*BQ181+(1-EXP(-LN(2)/25))/(LN(2)/25)*Calculateur!BL182*Calculateur!BN182*VLOOKUP('Données projet'!$B$11,Paramètres!$A$1:$I$89,3,0)*0.475*44/12</f>
        <v>0.80880563320550525</v>
      </c>
      <c r="BR182" s="21">
        <f>EXP(-LN(2)/2)*BR181+(1-EXP(-LN(2)/2))/(LN(2)/2)*BL182*BO182*VLOOKUP('Données projet'!$B$11,Paramètres!$A$1:$I$89,3,0)*0.475*44/12</f>
        <v>2.7394565456439782E-23</v>
      </c>
      <c r="BS182" s="22">
        <f t="shared" si="169"/>
        <v>22.604681173274862</v>
      </c>
      <c r="BT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7" t="e">
        <f t="shared" si="119"/>
        <v>#NUM!</v>
      </c>
      <c r="CD182" s="57">
        <f ca="1">AVERAGE(OFFSET($CC$3,0,0,'Données projet'!$E$12+1,1))-AVERAGE(OFFSET($H$3,0,0,'Données projet'!$E$12+1,1))</f>
        <v>187.80389738728508</v>
      </c>
      <c r="CE182" s="57">
        <f t="shared" si="148"/>
        <v>439.28159165815265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6.4591287764142153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4.6197920636494634E-23</v>
      </c>
      <c r="CN182" s="22">
        <f t="shared" si="172"/>
        <v>6.4591287764142153</v>
      </c>
      <c r="CO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267</v>
      </c>
      <c r="CU182" s="17">
        <f>CT182*VLOOKUP('Données projet'!$B$13,Paramètres!$A$1:$I$89,3,0)*VLOOKUP('Données projet'!$B$13,Paramètres!$A$1:$I$89,5,0)</f>
        <v>241.58159999999998</v>
      </c>
      <c r="CV182" s="13">
        <f t="shared" si="173"/>
        <v>58.779689232021951</v>
      </c>
      <c r="CW182" s="20">
        <f t="shared" si="174"/>
        <v>523.12924541243819</v>
      </c>
      <c r="CX182" s="57">
        <f t="shared" si="122"/>
        <v>816.46257874577145</v>
      </c>
      <c r="CY182" s="57">
        <f ca="1">AVERAGE(OFFSET($CX$3,0,0,'Données projet'!$E$13+1,1))-AVERAGE(OFFSET($H$3,0,0,'Données projet'!$E$13+1,1))</f>
        <v>364.3481978218424</v>
      </c>
      <c r="CZ182" s="57">
        <f t="shared" si="150"/>
        <v>231.36959598460686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21.28085725128474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21.28085725128474</v>
      </c>
      <c r="DJ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255.00000000000006</v>
      </c>
      <c r="DP182" s="17">
        <f>DO182*VLOOKUP('Données projet'!$B$14,Paramètres!$A$1:$I$89,3,0)*VLOOKUP('Données projet'!$B$14,Paramètres!$A$1:$I$89,5,0)</f>
        <v>186.96600000000004</v>
      </c>
      <c r="DQ182" s="13">
        <f t="shared" si="176"/>
        <v>46.868551400324648</v>
      </c>
      <c r="DR182" s="20">
        <f t="shared" si="177"/>
        <v>407.26184368889881</v>
      </c>
      <c r="DS182" s="57">
        <f t="shared" si="125"/>
        <v>700.59517702223206</v>
      </c>
      <c r="DT182" s="57">
        <f ca="1">AVERAGE(OFFSET($DS$3,0,0,'Données projet'!$E$14+1,1))-AVERAGE(OFFSET($H$3,0,0,'Données projet'!$E$14+1,1))</f>
        <v>239.25212250019609</v>
      </c>
      <c r="DU182" s="57">
        <f t="shared" si="152"/>
        <v>213.58492101729695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403.99999999999994</v>
      </c>
      <c r="EK182" s="17">
        <f>EJ182*VLOOKUP('Données projet'!$B$15,Paramètres!$A$1:$I$89,3,0)*VLOOKUP('Données projet'!$B$15,Paramètres!$A$1:$I$89,5,0)</f>
        <v>346.63200000000001</v>
      </c>
      <c r="EL182" s="13">
        <f t="shared" si="179"/>
        <v>80.868615263336864</v>
      </c>
      <c r="EM182" s="20">
        <f t="shared" si="180"/>
        <v>744.56357158364483</v>
      </c>
      <c r="EN182" s="57">
        <f t="shared" si="128"/>
        <v>1037.8969049169782</v>
      </c>
      <c r="EO182" s="57">
        <f ca="1">AVERAGE(OFFSET($EN$3,0,0,'Données projet'!$E$15+1,1))-AVERAGE(OFFSET($H$3,0,0,'Données projet'!$E$15+1,1))</f>
        <v>447.10969593632467</v>
      </c>
      <c r="EP182" s="57">
        <f t="shared" si="154"/>
        <v>256.77417912163997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30.929598882575405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30.929598882575405</v>
      </c>
      <c r="EZ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7" t="e">
        <f t="shared" si="131"/>
        <v>#N/A</v>
      </c>
      <c r="FJ182" s="57" t="e">
        <f ca="1">AVERAGE(OFFSET($FI$3,0,0,'Données projet'!$E$16+1,1))-AVERAGE(OFFSET($H$3,0,0,'Données projet'!$E$16+1,1))</f>
        <v>#N/A</v>
      </c>
      <c r="FK182" s="57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7" t="e">
        <f t="shared" si="134"/>
        <v>#N/A</v>
      </c>
      <c r="GE182" s="57" t="e">
        <f ca="1">AVERAGE(OFFSET($GD$3,0,0,'Données projet'!$E$17+1,1))-AVERAGE(OFFSET($H$3,0,0,'Données projet'!$E$17+1,1))</f>
        <v>#N/A</v>
      </c>
      <c r="GF182" s="57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7" t="e">
        <f t="shared" si="137"/>
        <v>#N/A</v>
      </c>
      <c r="GZ182" s="57" t="e">
        <f ca="1">AVERAGE(OFFSET($GY$3,0,0,'Données projet'!$E$18+1,1))-AVERAGE(OFFSET($H$3,0,0,'Données projet'!$E$18+1,1))</f>
        <v>#N/A</v>
      </c>
      <c r="HA182" s="57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0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4">
        <f t="shared" si="110"/>
        <v>256.66666666666669</v>
      </c>
      <c r="I183" s="6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636.99999999999977</v>
      </c>
      <c r="O183" s="13">
        <f>N183*VLOOKUP('Données projet'!$B$9,Paramètres!$A$1:$I$89,3,0)*VLOOKUP('Données projet'!$B$9,Paramètres!$A$1:$I$89,5,0)</f>
        <v>356.08299999999991</v>
      </c>
      <c r="P183" s="13">
        <f t="shared" si="141"/>
        <v>82.813805255716545</v>
      </c>
      <c r="Q183" s="20">
        <f t="shared" si="162"/>
        <v>764.41193582037283</v>
      </c>
      <c r="R183" s="57">
        <f t="shared" si="109"/>
        <v>1057.7452691537062</v>
      </c>
      <c r="S183" s="57">
        <f ca="1">AVERAGE(OFFSET($R$3,0,0,'Données projet'!$E$9+1,1))-AVERAGE(OFFSET($H$3,0,0,'Données projet'!$E$9+1,1))</f>
        <v>443.34220761968419</v>
      </c>
      <c r="T183" s="57">
        <f t="shared" si="142"/>
        <v>546.58234447298014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9.0766965120582181</v>
      </c>
      <c r="AA183" s="21">
        <f>EXP(-LN(2)/25)*AA182+(1-EXP(-LN(2)/25))/(LN(2)/25)*Calculateur!V183*Calculateur!X183*VLOOKUP('Données projet'!$B$9,Paramètres!$A$1:$I$89,3,0)*0.475*44/12</f>
        <v>0.34277037649728903</v>
      </c>
      <c r="AB183" s="21">
        <f>EXP(-LN(2)/2)*AB182+(1-EXP(-LN(2)/2))/(LN(2)/2)*V183*Y183*VLOOKUP('Données projet'!$B$9,Paramètres!$A$1:$I$89,3,0)*0.475*44/12</f>
        <v>1.5992503077272961E-22</v>
      </c>
      <c r="AC183" s="22">
        <f t="shared" si="163"/>
        <v>9.4194668885555064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911.99999999999898</v>
      </c>
      <c r="AJ183" s="13">
        <f>AI183*VLOOKUP('Données projet'!$B$10,Paramètres!$A$1:$I$89,3,0)*VLOOKUP('Données projet'!$B$10,Paramètres!$A$1:$I$89,5,0)</f>
        <v>426.81599999999946</v>
      </c>
      <c r="AK183" s="13">
        <f t="shared" si="164"/>
        <v>97.192496986872399</v>
      </c>
      <c r="AL183" s="20">
        <f t="shared" si="165"/>
        <v>912.64813225213504</v>
      </c>
      <c r="AM183" s="57">
        <f t="shared" si="113"/>
        <v>1205.9814655854684</v>
      </c>
      <c r="AN183" s="57">
        <f ca="1">AVERAGE(OFFSET($AM$3,0,0,'Données projet'!$E$10+1,1))-AVERAGE(OFFSET($H$3,0,0,'Données projet'!$E$10+1,1))</f>
        <v>524.3999528951972</v>
      </c>
      <c r="AO183" s="57">
        <f t="shared" si="144"/>
        <v>459.3547783500515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20.511995956556728</v>
      </c>
      <c r="AV183" s="21">
        <f>EXP(-LN(2)/25)*AV182+(1-EXP(-LN(2)/25))/(LN(2)/25)*Calculateur!AQ183*Calculateur!AS183*VLOOKUP('Données projet'!$B$10,Paramètres!$A$1:$I$89,3,0)*0.475*44/12</f>
        <v>0.83501120853350674</v>
      </c>
      <c r="AW183" s="21">
        <f>EXP(-LN(2)/2)*AW182+(1-EXP(-LN(2)/2))/(LN(2)/2)*AQ183*AT183*VLOOKUP('Données projet'!$B$10,Paramètres!$A$1:$I$89,3,0)*0.475*44/12</f>
        <v>3.1558346160241207E-23</v>
      </c>
      <c r="AX183" s="21">
        <f t="shared" si="166"/>
        <v>21.347007165090236</v>
      </c>
      <c r="AY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852.00000000000011</v>
      </c>
      <c r="BE183" s="13">
        <f>BD183*VLOOKUP('Données projet'!$B$11,Paramètres!$A$1:$I$89,3,0)*VLOOKUP('Données projet'!$B$11,Paramètres!$A$1:$I$89,5,0)</f>
        <v>409.81200000000013</v>
      </c>
      <c r="BF183" s="13">
        <f t="shared" si="167"/>
        <v>93.76308331402879</v>
      </c>
      <c r="BG183" s="20">
        <f t="shared" si="168"/>
        <v>877.05993677193362</v>
      </c>
      <c r="BH183" s="57">
        <f t="shared" si="116"/>
        <v>1170.393270105267</v>
      </c>
      <c r="BI183" s="57">
        <f ca="1">AVERAGE(OFFSET($BH$3,0,0,'Données projet'!$E$11+1,1))-AVERAGE(OFFSET($H$3,0,0,'Données projet'!$E$11+1,1))</f>
        <v>495.6473104257044</v>
      </c>
      <c r="BJ183" s="57">
        <f t="shared" si="146"/>
        <v>430.92527296485201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21.368471714899986</v>
      </c>
      <c r="BQ183" s="21">
        <f>EXP(-LN(2)/25)*BQ182+(1-EXP(-LN(2)/25))/(LN(2)/25)*Calculateur!BL183*Calculateur!BN183*VLOOKUP('Données projet'!$B$11,Paramètres!$A$1:$I$89,3,0)*0.475*44/12</f>
        <v>0.78668880063226099</v>
      </c>
      <c r="BR183" s="21">
        <f>EXP(-LN(2)/2)*BR182+(1-EXP(-LN(2)/2))/(LN(2)/2)*BL183*BO183*VLOOKUP('Données projet'!$B$11,Paramètres!$A$1:$I$89,3,0)*0.475*44/12</f>
        <v>1.9370883001907318E-23</v>
      </c>
      <c r="BS183" s="22">
        <f t="shared" si="169"/>
        <v>22.155160515532248</v>
      </c>
      <c r="BT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7" t="e">
        <f t="shared" si="119"/>
        <v>#NUM!</v>
      </c>
      <c r="CD183" s="57">
        <f ca="1">AVERAGE(OFFSET($CC$3,0,0,'Données projet'!$E$12+1,1))-AVERAGE(OFFSET($H$3,0,0,'Données projet'!$E$12+1,1))</f>
        <v>187.80389738728508</v>
      </c>
      <c r="CE183" s="57">
        <f t="shared" si="148"/>
        <v>439.28159165815265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6.3324692007882755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3.2666862958783299E-23</v>
      </c>
      <c r="CN183" s="22">
        <f t="shared" si="172"/>
        <v>6.3324692007882755</v>
      </c>
      <c r="CO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267</v>
      </c>
      <c r="CU183" s="17">
        <f>CT183*VLOOKUP('Données projet'!$B$13,Paramètres!$A$1:$I$89,3,0)*VLOOKUP('Données projet'!$B$13,Paramètres!$A$1:$I$89,5,0)</f>
        <v>241.58159999999998</v>
      </c>
      <c r="CV183" s="13">
        <f t="shared" si="173"/>
        <v>58.779689232021951</v>
      </c>
      <c r="CW183" s="20">
        <f t="shared" si="174"/>
        <v>523.12924541243819</v>
      </c>
      <c r="CX183" s="57">
        <f t="shared" si="122"/>
        <v>816.46257874577145</v>
      </c>
      <c r="CY183" s="57">
        <f ca="1">AVERAGE(OFFSET($CX$3,0,0,'Données projet'!$E$13+1,1))-AVERAGE(OFFSET($H$3,0,0,'Données projet'!$E$13+1,1))</f>
        <v>364.3481978218424</v>
      </c>
      <c r="CZ183" s="57">
        <f t="shared" si="150"/>
        <v>231.36959598460686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20.863552620628298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20.863552620628298</v>
      </c>
      <c r="DJ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255.00000000000006</v>
      </c>
      <c r="DP183" s="17">
        <f>DO183*VLOOKUP('Données projet'!$B$14,Paramètres!$A$1:$I$89,3,0)*VLOOKUP('Données projet'!$B$14,Paramètres!$A$1:$I$89,5,0)</f>
        <v>186.96600000000004</v>
      </c>
      <c r="DQ183" s="13">
        <f t="shared" si="176"/>
        <v>46.868551400324648</v>
      </c>
      <c r="DR183" s="20">
        <f t="shared" si="177"/>
        <v>407.26184368889881</v>
      </c>
      <c r="DS183" s="57">
        <f t="shared" si="125"/>
        <v>700.59517702223206</v>
      </c>
      <c r="DT183" s="57">
        <f ca="1">AVERAGE(OFFSET($DS$3,0,0,'Données projet'!$E$14+1,1))-AVERAGE(OFFSET($H$3,0,0,'Données projet'!$E$14+1,1))</f>
        <v>239.25212250019609</v>
      </c>
      <c r="DU183" s="57">
        <f t="shared" si="152"/>
        <v>213.58492101729695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403.99999999999994</v>
      </c>
      <c r="EK183" s="17">
        <f>EJ183*VLOOKUP('Données projet'!$B$15,Paramètres!$A$1:$I$89,3,0)*VLOOKUP('Données projet'!$B$15,Paramètres!$A$1:$I$89,5,0)</f>
        <v>346.63200000000001</v>
      </c>
      <c r="EL183" s="13">
        <f t="shared" si="179"/>
        <v>80.868615263336864</v>
      </c>
      <c r="EM183" s="20">
        <f t="shared" si="180"/>
        <v>744.56357158364483</v>
      </c>
      <c r="EN183" s="57">
        <f t="shared" si="128"/>
        <v>1037.8969049169782</v>
      </c>
      <c r="EO183" s="57">
        <f ca="1">AVERAGE(OFFSET($EN$3,0,0,'Données projet'!$E$15+1,1))-AVERAGE(OFFSET($H$3,0,0,'Données projet'!$E$15+1,1))</f>
        <v>447.10969593632467</v>
      </c>
      <c r="EP183" s="57">
        <f t="shared" si="154"/>
        <v>256.77417912163997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30.323088313680636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30.323088313680636</v>
      </c>
      <c r="EZ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7" t="e">
        <f t="shared" si="131"/>
        <v>#N/A</v>
      </c>
      <c r="FJ183" s="57" t="e">
        <f ca="1">AVERAGE(OFFSET($FI$3,0,0,'Données projet'!$E$16+1,1))-AVERAGE(OFFSET($H$3,0,0,'Données projet'!$E$16+1,1))</f>
        <v>#N/A</v>
      </c>
      <c r="FK183" s="57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7" t="e">
        <f t="shared" si="134"/>
        <v>#N/A</v>
      </c>
      <c r="GE183" s="57" t="e">
        <f ca="1">AVERAGE(OFFSET($GD$3,0,0,'Données projet'!$E$17+1,1))-AVERAGE(OFFSET($H$3,0,0,'Données projet'!$E$17+1,1))</f>
        <v>#N/A</v>
      </c>
      <c r="GF183" s="57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7" t="e">
        <f t="shared" si="137"/>
        <v>#N/A</v>
      </c>
      <c r="GZ183" s="57" t="e">
        <f ca="1">AVERAGE(OFFSET($GY$3,0,0,'Données projet'!$E$18+1,1))-AVERAGE(OFFSET($H$3,0,0,'Données projet'!$E$18+1,1))</f>
        <v>#N/A</v>
      </c>
      <c r="HA183" s="57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0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4">
        <f t="shared" si="110"/>
        <v>256.66666666666669</v>
      </c>
      <c r="I184" s="6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636.99999999999977</v>
      </c>
      <c r="O184" s="13">
        <f>N184*VLOOKUP('Données projet'!$B$9,Paramètres!$A$1:$I$89,3,0)*VLOOKUP('Données projet'!$B$9,Paramètres!$A$1:$I$89,5,0)</f>
        <v>356.08299999999991</v>
      </c>
      <c r="P184" s="13">
        <f t="shared" si="141"/>
        <v>82.813805255716545</v>
      </c>
      <c r="Q184" s="20">
        <f t="shared" si="162"/>
        <v>764.41193582037283</v>
      </c>
      <c r="R184" s="57">
        <f t="shared" si="109"/>
        <v>1057.7452691537062</v>
      </c>
      <c r="S184" s="57">
        <f ca="1">AVERAGE(OFFSET($R$3,0,0,'Données projet'!$E$9+1,1))-AVERAGE(OFFSET($H$3,0,0,'Données projet'!$E$9+1,1))</f>
        <v>443.34220761968419</v>
      </c>
      <c r="T184" s="57">
        <f t="shared" si="142"/>
        <v>546.58234447298014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8.898708029694971</v>
      </c>
      <c r="AA184" s="21">
        <f>EXP(-LN(2)/25)*AA183+(1-EXP(-LN(2)/25))/(LN(2)/25)*Calculateur!V184*Calculateur!X184*VLOOKUP('Données projet'!$B$9,Paramètres!$A$1:$I$89,3,0)*0.475*44/12</f>
        <v>0.33339730252645999</v>
      </c>
      <c r="AB184" s="21">
        <f>EXP(-LN(2)/2)*AB183+(1-EXP(-LN(2)/2))/(LN(2)/2)*V184*Y184*VLOOKUP('Données projet'!$B$9,Paramètres!$A$1:$I$89,3,0)*0.475*44/12</f>
        <v>1.1308407374086439E-22</v>
      </c>
      <c r="AC184" s="22">
        <f t="shared" si="163"/>
        <v>9.2321053322214315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911.99999999999898</v>
      </c>
      <c r="AJ184" s="13">
        <f>AI184*VLOOKUP('Données projet'!$B$10,Paramètres!$A$1:$I$89,3,0)*VLOOKUP('Données projet'!$B$10,Paramètres!$A$1:$I$89,5,0)</f>
        <v>426.81599999999946</v>
      </c>
      <c r="AK184" s="13">
        <f t="shared" si="164"/>
        <v>97.192496986872399</v>
      </c>
      <c r="AL184" s="20">
        <f t="shared" si="165"/>
        <v>912.64813225213504</v>
      </c>
      <c r="AM184" s="57">
        <f t="shared" si="113"/>
        <v>1205.9814655854684</v>
      </c>
      <c r="AN184" s="57">
        <f ca="1">AVERAGE(OFFSET($AM$3,0,0,'Données projet'!$E$10+1,1))-AVERAGE(OFFSET($H$3,0,0,'Données projet'!$E$10+1,1))</f>
        <v>524.3999528951972</v>
      </c>
      <c r="AO184" s="57">
        <f t="shared" si="144"/>
        <v>459.3547783500515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20.109768226930818</v>
      </c>
      <c r="AV184" s="21">
        <f>EXP(-LN(2)/25)*AV183+(1-EXP(-LN(2)/25))/(LN(2)/25)*Calculateur!AQ184*Calculateur!AS184*VLOOKUP('Données projet'!$B$10,Paramètres!$A$1:$I$89,3,0)*0.475*44/12</f>
        <v>0.81217778312482702</v>
      </c>
      <c r="AW184" s="21">
        <f>EXP(-LN(2)/2)*AW183+(1-EXP(-LN(2)/2))/(LN(2)/2)*AQ184*AT184*VLOOKUP('Données projet'!$B$10,Paramètres!$A$1:$I$89,3,0)*0.475*44/12</f>
        <v>2.2315120572939002E-23</v>
      </c>
      <c r="AX184" s="21">
        <f t="shared" si="166"/>
        <v>20.921946010055645</v>
      </c>
      <c r="AY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852.00000000000011</v>
      </c>
      <c r="BE184" s="13">
        <f>BD184*VLOOKUP('Données projet'!$B$11,Paramètres!$A$1:$I$89,3,0)*VLOOKUP('Données projet'!$B$11,Paramètres!$A$1:$I$89,5,0)</f>
        <v>409.81200000000013</v>
      </c>
      <c r="BF184" s="13">
        <f t="shared" si="167"/>
        <v>93.76308331402879</v>
      </c>
      <c r="BG184" s="20">
        <f t="shared" si="168"/>
        <v>877.05993677193362</v>
      </c>
      <c r="BH184" s="57">
        <f t="shared" si="116"/>
        <v>1170.393270105267</v>
      </c>
      <c r="BI184" s="57">
        <f ca="1">AVERAGE(OFFSET($BH$3,0,0,'Données projet'!$E$11+1,1))-AVERAGE(OFFSET($H$3,0,0,'Données projet'!$E$11+1,1))</f>
        <v>495.6473104257044</v>
      </c>
      <c r="BJ184" s="57">
        <f t="shared" si="146"/>
        <v>430.92527296485201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20.949449018051595</v>
      </c>
      <c r="BQ184" s="21">
        <f>EXP(-LN(2)/25)*BQ183+(1-EXP(-LN(2)/25))/(LN(2)/25)*Calculateur!BL184*Calculateur!BN184*VLOOKUP('Données projet'!$B$11,Paramètres!$A$1:$I$89,3,0)*0.475*44/12</f>
        <v>0.7651767540088058</v>
      </c>
      <c r="BR184" s="21">
        <f>EXP(-LN(2)/2)*BR183+(1-EXP(-LN(2)/2))/(LN(2)/2)*BL184*BO184*VLOOKUP('Données projet'!$B$11,Paramètres!$A$1:$I$89,3,0)*0.475*44/12</f>
        <v>1.3697282728219891E-23</v>
      </c>
      <c r="BS184" s="22">
        <f t="shared" si="169"/>
        <v>21.714625772060401</v>
      </c>
      <c r="BT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7" t="e">
        <f t="shared" si="119"/>
        <v>#NUM!</v>
      </c>
      <c r="CD184" s="57">
        <f ca="1">AVERAGE(OFFSET($CC$3,0,0,'Données projet'!$E$12+1,1))-AVERAGE(OFFSET($H$3,0,0,'Données projet'!$E$12+1,1))</f>
        <v>187.80389738728508</v>
      </c>
      <c r="CE184" s="57">
        <f t="shared" si="148"/>
        <v>439.28159165815265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6.2082933421856472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2.3098960318247317E-23</v>
      </c>
      <c r="CN184" s="22">
        <f t="shared" si="172"/>
        <v>6.2082933421856472</v>
      </c>
      <c r="CO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267</v>
      </c>
      <c r="CU184" s="17">
        <f>CT184*VLOOKUP('Données projet'!$B$13,Paramètres!$A$1:$I$89,3,0)*VLOOKUP('Données projet'!$B$13,Paramètres!$A$1:$I$89,5,0)</f>
        <v>241.58159999999998</v>
      </c>
      <c r="CV184" s="13">
        <f t="shared" si="173"/>
        <v>58.779689232021951</v>
      </c>
      <c r="CW184" s="20">
        <f t="shared" si="174"/>
        <v>523.12924541243819</v>
      </c>
      <c r="CX184" s="57">
        <f t="shared" si="122"/>
        <v>816.46257874577145</v>
      </c>
      <c r="CY184" s="57">
        <f ca="1">AVERAGE(OFFSET($CX$3,0,0,'Données projet'!$E$13+1,1))-AVERAGE(OFFSET($H$3,0,0,'Données projet'!$E$13+1,1))</f>
        <v>364.3481978218424</v>
      </c>
      <c r="CZ184" s="57">
        <f t="shared" si="150"/>
        <v>231.36959598460686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20.454431079248334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20.454431079248334</v>
      </c>
      <c r="DJ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255.00000000000006</v>
      </c>
      <c r="DP184" s="17">
        <f>DO184*VLOOKUP('Données projet'!$B$14,Paramètres!$A$1:$I$89,3,0)*VLOOKUP('Données projet'!$B$14,Paramètres!$A$1:$I$89,5,0)</f>
        <v>186.96600000000004</v>
      </c>
      <c r="DQ184" s="13">
        <f t="shared" si="176"/>
        <v>46.868551400324648</v>
      </c>
      <c r="DR184" s="20">
        <f t="shared" si="177"/>
        <v>407.26184368889881</v>
      </c>
      <c r="DS184" s="57">
        <f t="shared" si="125"/>
        <v>700.59517702223206</v>
      </c>
      <c r="DT184" s="57">
        <f ca="1">AVERAGE(OFFSET($DS$3,0,0,'Données projet'!$E$14+1,1))-AVERAGE(OFFSET($H$3,0,0,'Données projet'!$E$14+1,1))</f>
        <v>239.25212250019609</v>
      </c>
      <c r="DU184" s="57">
        <f t="shared" si="152"/>
        <v>213.58492101729695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403.99999999999994</v>
      </c>
      <c r="EK184" s="17">
        <f>EJ184*VLOOKUP('Données projet'!$B$15,Paramètres!$A$1:$I$89,3,0)*VLOOKUP('Données projet'!$B$15,Paramètres!$A$1:$I$89,5,0)</f>
        <v>346.63200000000001</v>
      </c>
      <c r="EL184" s="13">
        <f t="shared" si="179"/>
        <v>80.868615263336864</v>
      </c>
      <c r="EM184" s="20">
        <f t="shared" si="180"/>
        <v>744.56357158364483</v>
      </c>
      <c r="EN184" s="57">
        <f t="shared" si="128"/>
        <v>1037.8969049169782</v>
      </c>
      <c r="EO184" s="57">
        <f ca="1">AVERAGE(OFFSET($EN$3,0,0,'Données projet'!$E$15+1,1))-AVERAGE(OFFSET($H$3,0,0,'Données projet'!$E$15+1,1))</f>
        <v>447.10969593632467</v>
      </c>
      <c r="EP184" s="57">
        <f t="shared" si="154"/>
        <v>256.77417912163997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29.728471047106975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29.728471047106975</v>
      </c>
      <c r="EZ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7" t="e">
        <f t="shared" si="131"/>
        <v>#N/A</v>
      </c>
      <c r="FJ184" s="57" t="e">
        <f ca="1">AVERAGE(OFFSET($FI$3,0,0,'Données projet'!$E$16+1,1))-AVERAGE(OFFSET($H$3,0,0,'Données projet'!$E$16+1,1))</f>
        <v>#N/A</v>
      </c>
      <c r="FK184" s="57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7" t="e">
        <f t="shared" si="134"/>
        <v>#N/A</v>
      </c>
      <c r="GE184" s="57" t="e">
        <f ca="1">AVERAGE(OFFSET($GD$3,0,0,'Données projet'!$E$17+1,1))-AVERAGE(OFFSET($H$3,0,0,'Données projet'!$E$17+1,1))</f>
        <v>#N/A</v>
      </c>
      <c r="GF184" s="57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7" t="e">
        <f t="shared" si="137"/>
        <v>#N/A</v>
      </c>
      <c r="GZ184" s="57" t="e">
        <f ca="1">AVERAGE(OFFSET($GY$3,0,0,'Données projet'!$E$18+1,1))-AVERAGE(OFFSET($H$3,0,0,'Données projet'!$E$18+1,1))</f>
        <v>#N/A</v>
      </c>
      <c r="HA184" s="57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0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4">
        <f t="shared" si="110"/>
        <v>256.66666666666669</v>
      </c>
      <c r="I185" s="6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636.99999999999977</v>
      </c>
      <c r="O185" s="13">
        <f>N185*VLOOKUP('Données projet'!$B$9,Paramètres!$A$1:$I$89,3,0)*VLOOKUP('Données projet'!$B$9,Paramètres!$A$1:$I$89,5,0)</f>
        <v>356.08299999999991</v>
      </c>
      <c r="P185" s="13">
        <f t="shared" si="141"/>
        <v>82.813805255716545</v>
      </c>
      <c r="Q185" s="20">
        <f t="shared" si="162"/>
        <v>764.41193582037283</v>
      </c>
      <c r="R185" s="57">
        <f t="shared" si="109"/>
        <v>1057.7452691537062</v>
      </c>
      <c r="S185" s="57">
        <f ca="1">AVERAGE(OFFSET($R$3,0,0,'Données projet'!$E$9+1,1))-AVERAGE(OFFSET($H$3,0,0,'Données projet'!$E$9+1,1))</f>
        <v>443.34220761968419</v>
      </c>
      <c r="T185" s="57">
        <f t="shared" si="142"/>
        <v>546.58234447298014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8.7242097929086118</v>
      </c>
      <c r="AA185" s="21">
        <f>EXP(-LN(2)/25)*AA184+(1-EXP(-LN(2)/25))/(LN(2)/25)*Calculateur!V185*Calculateur!X185*VLOOKUP('Données projet'!$B$9,Paramètres!$A$1:$I$89,3,0)*0.475*44/12</f>
        <v>0.3242805357562718</v>
      </c>
      <c r="AB185" s="21">
        <f>EXP(-LN(2)/2)*AB184+(1-EXP(-LN(2)/2))/(LN(2)/2)*V185*Y185*VLOOKUP('Données projet'!$B$9,Paramètres!$A$1:$I$89,3,0)*0.475*44/12</f>
        <v>7.9962515386364805E-23</v>
      </c>
      <c r="AC185" s="22">
        <f t="shared" si="163"/>
        <v>9.048490328664883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911.99999999999898</v>
      </c>
      <c r="AJ185" s="13">
        <f>AI185*VLOOKUP('Données projet'!$B$10,Paramètres!$A$1:$I$89,3,0)*VLOOKUP('Données projet'!$B$10,Paramètres!$A$1:$I$89,5,0)</f>
        <v>426.81599999999946</v>
      </c>
      <c r="AK185" s="13">
        <f t="shared" si="164"/>
        <v>97.192496986872399</v>
      </c>
      <c r="AL185" s="20">
        <f t="shared" si="165"/>
        <v>912.64813225213504</v>
      </c>
      <c r="AM185" s="57">
        <f t="shared" si="113"/>
        <v>1205.9814655854684</v>
      </c>
      <c r="AN185" s="57">
        <f ca="1">AVERAGE(OFFSET($AM$3,0,0,'Données projet'!$E$10+1,1))-AVERAGE(OFFSET($H$3,0,0,'Données projet'!$E$10+1,1))</f>
        <v>524.3999528951972</v>
      </c>
      <c r="AO185" s="57">
        <f t="shared" si="144"/>
        <v>459.3547783500515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19.715427937748181</v>
      </c>
      <c r="AV185" s="21">
        <f>EXP(-LN(2)/25)*AV184+(1-EXP(-LN(2)/25))/(LN(2)/25)*Calculateur!AQ185*Calculateur!AS185*VLOOKUP('Données projet'!$B$10,Paramètres!$A$1:$I$89,3,0)*0.475*44/12</f>
        <v>0.78996873893470532</v>
      </c>
      <c r="AW185" s="21">
        <f>EXP(-LN(2)/2)*AW184+(1-EXP(-LN(2)/2))/(LN(2)/2)*AQ185*AT185*VLOOKUP('Données projet'!$B$10,Paramètres!$A$1:$I$89,3,0)*0.475*44/12</f>
        <v>1.5779173080120604E-23</v>
      </c>
      <c r="AX185" s="21">
        <f t="shared" si="166"/>
        <v>20.505396676682885</v>
      </c>
      <c r="AY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852.00000000000011</v>
      </c>
      <c r="BE185" s="13">
        <f>BD185*VLOOKUP('Données projet'!$B$11,Paramètres!$A$1:$I$89,3,0)*VLOOKUP('Données projet'!$B$11,Paramètres!$A$1:$I$89,5,0)</f>
        <v>409.81200000000013</v>
      </c>
      <c r="BF185" s="13">
        <f t="shared" si="167"/>
        <v>93.76308331402879</v>
      </c>
      <c r="BG185" s="20">
        <f t="shared" si="168"/>
        <v>877.05993677193362</v>
      </c>
      <c r="BH185" s="57">
        <f t="shared" si="116"/>
        <v>1170.393270105267</v>
      </c>
      <c r="BI185" s="57">
        <f ca="1">AVERAGE(OFFSET($BH$3,0,0,'Données projet'!$E$11+1,1))-AVERAGE(OFFSET($H$3,0,0,'Données projet'!$E$11+1,1))</f>
        <v>495.6473104257044</v>
      </c>
      <c r="BJ185" s="57">
        <f t="shared" si="146"/>
        <v>430.92527296485201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20.538643100709791</v>
      </c>
      <c r="BQ185" s="21">
        <f>EXP(-LN(2)/25)*BQ184+(1-EXP(-LN(2)/25))/(LN(2)/25)*Calculateur!BL185*Calculateur!BN185*VLOOKUP('Données projet'!$B$11,Paramètres!$A$1:$I$89,3,0)*0.475*44/12</f>
        <v>0.74425295543153835</v>
      </c>
      <c r="BR185" s="21">
        <f>EXP(-LN(2)/2)*BR184+(1-EXP(-LN(2)/2))/(LN(2)/2)*BL185*BO185*VLOOKUP('Données projet'!$B$11,Paramètres!$A$1:$I$89,3,0)*0.475*44/12</f>
        <v>9.6854415009536591E-24</v>
      </c>
      <c r="BS185" s="22">
        <f t="shared" si="169"/>
        <v>21.282896056141329</v>
      </c>
      <c r="BT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7" t="e">
        <f t="shared" si="119"/>
        <v>#NUM!</v>
      </c>
      <c r="CD185" s="57">
        <f ca="1">AVERAGE(OFFSET($CC$3,0,0,'Données projet'!$E$12+1,1))-AVERAGE(OFFSET($H$3,0,0,'Données projet'!$E$12+1,1))</f>
        <v>187.80389738728508</v>
      </c>
      <c r="CE185" s="57">
        <f t="shared" si="148"/>
        <v>439.28159165815265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6.0865524964304214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1.6333431479391649E-23</v>
      </c>
      <c r="CN185" s="22">
        <f t="shared" si="172"/>
        <v>6.0865524964304214</v>
      </c>
      <c r="CO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267</v>
      </c>
      <c r="CU185" s="17">
        <f>CT185*VLOOKUP('Données projet'!$B$13,Paramètres!$A$1:$I$89,3,0)*VLOOKUP('Données projet'!$B$13,Paramètres!$A$1:$I$89,5,0)</f>
        <v>241.58159999999998</v>
      </c>
      <c r="CV185" s="13">
        <f t="shared" si="173"/>
        <v>58.779689232021951</v>
      </c>
      <c r="CW185" s="20">
        <f t="shared" si="174"/>
        <v>523.12924541243819</v>
      </c>
      <c r="CX185" s="57">
        <f t="shared" si="122"/>
        <v>816.46257874577145</v>
      </c>
      <c r="CY185" s="57">
        <f ca="1">AVERAGE(OFFSET($CX$3,0,0,'Données projet'!$E$13+1,1))-AVERAGE(OFFSET($H$3,0,0,'Données projet'!$E$13+1,1))</f>
        <v>364.3481978218424</v>
      </c>
      <c r="CZ185" s="57">
        <f t="shared" si="150"/>
        <v>231.36959598460686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20.053332161755332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20.053332161755332</v>
      </c>
      <c r="DJ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255.00000000000006</v>
      </c>
      <c r="DP185" s="17">
        <f>DO185*VLOOKUP('Données projet'!$B$14,Paramètres!$A$1:$I$89,3,0)*VLOOKUP('Données projet'!$B$14,Paramètres!$A$1:$I$89,5,0)</f>
        <v>186.96600000000004</v>
      </c>
      <c r="DQ185" s="13">
        <f t="shared" si="176"/>
        <v>46.868551400324648</v>
      </c>
      <c r="DR185" s="20">
        <f t="shared" si="177"/>
        <v>407.26184368889881</v>
      </c>
      <c r="DS185" s="57">
        <f t="shared" si="125"/>
        <v>700.59517702223206</v>
      </c>
      <c r="DT185" s="57">
        <f ca="1">AVERAGE(OFFSET($DS$3,0,0,'Données projet'!$E$14+1,1))-AVERAGE(OFFSET($H$3,0,0,'Données projet'!$E$14+1,1))</f>
        <v>239.25212250019609</v>
      </c>
      <c r="DU185" s="57">
        <f t="shared" si="152"/>
        <v>213.58492101729695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403.99999999999994</v>
      </c>
      <c r="EK185" s="17">
        <f>EJ185*VLOOKUP('Données projet'!$B$15,Paramètres!$A$1:$I$89,3,0)*VLOOKUP('Données projet'!$B$15,Paramètres!$A$1:$I$89,5,0)</f>
        <v>346.63200000000001</v>
      </c>
      <c r="EL185" s="13">
        <f t="shared" si="179"/>
        <v>80.868615263336864</v>
      </c>
      <c r="EM185" s="20">
        <f t="shared" si="180"/>
        <v>744.56357158364483</v>
      </c>
      <c r="EN185" s="57">
        <f t="shared" si="128"/>
        <v>1037.8969049169782</v>
      </c>
      <c r="EO185" s="57">
        <f ca="1">AVERAGE(OFFSET($EN$3,0,0,'Données projet'!$E$15+1,1))-AVERAGE(OFFSET($H$3,0,0,'Données projet'!$E$15+1,1))</f>
        <v>447.10969593632467</v>
      </c>
      <c r="EP185" s="57">
        <f t="shared" si="154"/>
        <v>256.77417912163997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29.145513862450102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29.145513862450102</v>
      </c>
      <c r="EZ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7" t="e">
        <f t="shared" si="131"/>
        <v>#N/A</v>
      </c>
      <c r="FJ185" s="57" t="e">
        <f ca="1">AVERAGE(OFFSET($FI$3,0,0,'Données projet'!$E$16+1,1))-AVERAGE(OFFSET($H$3,0,0,'Données projet'!$E$16+1,1))</f>
        <v>#N/A</v>
      </c>
      <c r="FK185" s="57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7" t="e">
        <f t="shared" si="134"/>
        <v>#N/A</v>
      </c>
      <c r="GE185" s="57" t="e">
        <f ca="1">AVERAGE(OFFSET($GD$3,0,0,'Données projet'!$E$17+1,1))-AVERAGE(OFFSET($H$3,0,0,'Données projet'!$E$17+1,1))</f>
        <v>#N/A</v>
      </c>
      <c r="GF185" s="57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7" t="e">
        <f t="shared" si="137"/>
        <v>#N/A</v>
      </c>
      <c r="GZ185" s="57" t="e">
        <f ca="1">AVERAGE(OFFSET($GY$3,0,0,'Données projet'!$E$18+1,1))-AVERAGE(OFFSET($H$3,0,0,'Données projet'!$E$18+1,1))</f>
        <v>#N/A</v>
      </c>
      <c r="HA185" s="57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0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4">
        <f t="shared" si="110"/>
        <v>256.66666666666669</v>
      </c>
      <c r="I186" s="6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636.99999999999977</v>
      </c>
      <c r="O186" s="13">
        <f>N186*VLOOKUP('Données projet'!$B$9,Paramètres!$A$1:$I$89,3,0)*VLOOKUP('Données projet'!$B$9,Paramètres!$A$1:$I$89,5,0)</f>
        <v>356.08299999999991</v>
      </c>
      <c r="P186" s="13">
        <f t="shared" si="141"/>
        <v>82.813805255716545</v>
      </c>
      <c r="Q186" s="20">
        <f t="shared" si="162"/>
        <v>764.41193582037283</v>
      </c>
      <c r="R186" s="57">
        <f t="shared" si="109"/>
        <v>1057.7452691537062</v>
      </c>
      <c r="S186" s="57">
        <f ca="1">AVERAGE(OFFSET($R$3,0,0,'Données projet'!$E$9+1,1))-AVERAGE(OFFSET($H$3,0,0,'Données projet'!$E$9+1,1))</f>
        <v>443.34220761968419</v>
      </c>
      <c r="T186" s="57">
        <f t="shared" si="142"/>
        <v>546.58234447298014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8.5531333601122181</v>
      </c>
      <c r="AA186" s="21">
        <f>EXP(-LN(2)/25)*AA185+(1-EXP(-LN(2)/25))/(LN(2)/25)*Calculateur!V186*Calculateur!X186*VLOOKUP('Données projet'!$B$9,Paramètres!$A$1:$I$89,3,0)*0.475*44/12</f>
        <v>0.31541306745284431</v>
      </c>
      <c r="AB186" s="21">
        <f>EXP(-LN(2)/2)*AB185+(1-EXP(-LN(2)/2))/(LN(2)/2)*V186*Y186*VLOOKUP('Données projet'!$B$9,Paramètres!$A$1:$I$89,3,0)*0.475*44/12</f>
        <v>5.6542036870432197E-23</v>
      </c>
      <c r="AC186" s="22">
        <f t="shared" si="163"/>
        <v>8.8685464275650627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911.99999999999898</v>
      </c>
      <c r="AJ186" s="13">
        <f>AI186*VLOOKUP('Données projet'!$B$10,Paramètres!$A$1:$I$89,3,0)*VLOOKUP('Données projet'!$B$10,Paramètres!$A$1:$I$89,5,0)</f>
        <v>426.81599999999946</v>
      </c>
      <c r="AK186" s="13">
        <f t="shared" si="164"/>
        <v>97.192496986872399</v>
      </c>
      <c r="AL186" s="20">
        <f t="shared" si="165"/>
        <v>912.64813225213504</v>
      </c>
      <c r="AM186" s="57">
        <f t="shared" si="113"/>
        <v>1205.9814655854684</v>
      </c>
      <c r="AN186" s="57">
        <f ca="1">AVERAGE(OFFSET($AM$3,0,0,'Données projet'!$E$10+1,1))-AVERAGE(OFFSET($H$3,0,0,'Données projet'!$E$10+1,1))</f>
        <v>524.3999528951972</v>
      </c>
      <c r="AO186" s="57">
        <f t="shared" si="144"/>
        <v>459.3547783500515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19.328820421112589</v>
      </c>
      <c r="AV186" s="21">
        <f>EXP(-LN(2)/25)*AV185+(1-EXP(-LN(2)/25))/(LN(2)/25)*Calculateur!AQ186*Calculateur!AS186*VLOOKUP('Données projet'!$B$10,Paramètres!$A$1:$I$89,3,0)*0.475*44/12</f>
        <v>0.76836700222588528</v>
      </c>
      <c r="AW186" s="21">
        <f>EXP(-LN(2)/2)*AW185+(1-EXP(-LN(2)/2))/(LN(2)/2)*AQ186*AT186*VLOOKUP('Données projet'!$B$10,Paramètres!$A$1:$I$89,3,0)*0.475*44/12</f>
        <v>1.1157560286469501E-23</v>
      </c>
      <c r="AX186" s="21">
        <f t="shared" si="166"/>
        <v>20.097187423338475</v>
      </c>
      <c r="AY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852.00000000000011</v>
      </c>
      <c r="BE186" s="13">
        <f>BD186*VLOOKUP('Données projet'!$B$11,Paramètres!$A$1:$I$89,3,0)*VLOOKUP('Données projet'!$B$11,Paramètres!$A$1:$I$89,5,0)</f>
        <v>409.81200000000013</v>
      </c>
      <c r="BF186" s="13">
        <f t="shared" si="167"/>
        <v>93.76308331402879</v>
      </c>
      <c r="BG186" s="20">
        <f t="shared" si="168"/>
        <v>877.05993677193362</v>
      </c>
      <c r="BH186" s="57">
        <f t="shared" si="116"/>
        <v>1170.393270105267</v>
      </c>
      <c r="BI186" s="57">
        <f ca="1">AVERAGE(OFFSET($BH$3,0,0,'Données projet'!$E$11+1,1))-AVERAGE(OFFSET($H$3,0,0,'Données projet'!$E$11+1,1))</f>
        <v>495.6473104257044</v>
      </c>
      <c r="BJ186" s="57">
        <f t="shared" si="146"/>
        <v>430.92527296485201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20.135892836840192</v>
      </c>
      <c r="BQ186" s="21">
        <f>EXP(-LN(2)/25)*BQ185+(1-EXP(-LN(2)/25))/(LN(2)/25)*Calculateur!BL186*Calculateur!BN186*VLOOKUP('Données projet'!$B$11,Paramètres!$A$1:$I$89,3,0)*0.475*44/12</f>
        <v>0.72390131922670098</v>
      </c>
      <c r="BR186" s="21">
        <f>EXP(-LN(2)/2)*BR185+(1-EXP(-LN(2)/2))/(LN(2)/2)*BL186*BO186*VLOOKUP('Données projet'!$B$11,Paramètres!$A$1:$I$89,3,0)*0.475*44/12</f>
        <v>6.8486413641099455E-24</v>
      </c>
      <c r="BS186" s="22">
        <f t="shared" si="169"/>
        <v>20.859794156066894</v>
      </c>
      <c r="BT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7" t="e">
        <f t="shared" si="119"/>
        <v>#NUM!</v>
      </c>
      <c r="CD186" s="57">
        <f ca="1">AVERAGE(OFFSET($CC$3,0,0,'Données projet'!$E$12+1,1))-AVERAGE(OFFSET($H$3,0,0,'Données projet'!$E$12+1,1))</f>
        <v>187.80389738728508</v>
      </c>
      <c r="CE186" s="57">
        <f t="shared" si="148"/>
        <v>439.28159165815265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5.9671989144058717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1.1549480159123658E-23</v>
      </c>
      <c r="CN186" s="22">
        <f t="shared" si="172"/>
        <v>5.9671989144058717</v>
      </c>
      <c r="CO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267</v>
      </c>
      <c r="CU186" s="17">
        <f>CT186*VLOOKUP('Données projet'!$B$13,Paramètres!$A$1:$I$89,3,0)*VLOOKUP('Données projet'!$B$13,Paramètres!$A$1:$I$89,5,0)</f>
        <v>241.58159999999998</v>
      </c>
      <c r="CV186" s="13">
        <f t="shared" si="173"/>
        <v>58.779689232021951</v>
      </c>
      <c r="CW186" s="20">
        <f t="shared" si="174"/>
        <v>523.12924541243819</v>
      </c>
      <c r="CX186" s="57">
        <f t="shared" si="122"/>
        <v>816.46257874577145</v>
      </c>
      <c r="CY186" s="57">
        <f ca="1">AVERAGE(OFFSET($CX$3,0,0,'Données projet'!$E$13+1,1))-AVERAGE(OFFSET($H$3,0,0,'Données projet'!$E$13+1,1))</f>
        <v>364.3481978218424</v>
      </c>
      <c r="CZ186" s="57">
        <f t="shared" si="150"/>
        <v>231.36959598460686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19.660098549388184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19.660098549388184</v>
      </c>
      <c r="DJ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255.00000000000006</v>
      </c>
      <c r="DP186" s="17">
        <f>DO186*VLOOKUP('Données projet'!$B$14,Paramètres!$A$1:$I$89,3,0)*VLOOKUP('Données projet'!$B$14,Paramètres!$A$1:$I$89,5,0)</f>
        <v>186.96600000000004</v>
      </c>
      <c r="DQ186" s="13">
        <f t="shared" si="176"/>
        <v>46.868551400324648</v>
      </c>
      <c r="DR186" s="20">
        <f t="shared" si="177"/>
        <v>407.26184368889881</v>
      </c>
      <c r="DS186" s="57">
        <f t="shared" si="125"/>
        <v>700.59517702223206</v>
      </c>
      <c r="DT186" s="57">
        <f ca="1">AVERAGE(OFFSET($DS$3,0,0,'Données projet'!$E$14+1,1))-AVERAGE(OFFSET($H$3,0,0,'Données projet'!$E$14+1,1))</f>
        <v>239.25212250019609</v>
      </c>
      <c r="DU186" s="57">
        <f t="shared" si="152"/>
        <v>213.58492101729695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403.99999999999994</v>
      </c>
      <c r="EK186" s="17">
        <f>EJ186*VLOOKUP('Données projet'!$B$15,Paramètres!$A$1:$I$89,3,0)*VLOOKUP('Données projet'!$B$15,Paramètres!$A$1:$I$89,5,0)</f>
        <v>346.63200000000001</v>
      </c>
      <c r="EL186" s="13">
        <f t="shared" si="179"/>
        <v>80.868615263336864</v>
      </c>
      <c r="EM186" s="20">
        <f t="shared" si="180"/>
        <v>744.56357158364483</v>
      </c>
      <c r="EN186" s="57">
        <f t="shared" si="128"/>
        <v>1037.8969049169782</v>
      </c>
      <c r="EO186" s="57">
        <f ca="1">AVERAGE(OFFSET($EN$3,0,0,'Données projet'!$E$15+1,1))-AVERAGE(OFFSET($H$3,0,0,'Données projet'!$E$15+1,1))</f>
        <v>447.10969593632467</v>
      </c>
      <c r="EP186" s="57">
        <f t="shared" si="154"/>
        <v>256.77417912163997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28.573988112615577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28.573988112615577</v>
      </c>
      <c r="EZ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7" t="e">
        <f t="shared" si="131"/>
        <v>#N/A</v>
      </c>
      <c r="FJ186" s="57" t="e">
        <f ca="1">AVERAGE(OFFSET($FI$3,0,0,'Données projet'!$E$16+1,1))-AVERAGE(OFFSET($H$3,0,0,'Données projet'!$E$16+1,1))</f>
        <v>#N/A</v>
      </c>
      <c r="FK186" s="57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7" t="e">
        <f t="shared" si="134"/>
        <v>#N/A</v>
      </c>
      <c r="GE186" s="57" t="e">
        <f ca="1">AVERAGE(OFFSET($GD$3,0,0,'Données projet'!$E$17+1,1))-AVERAGE(OFFSET($H$3,0,0,'Données projet'!$E$17+1,1))</f>
        <v>#N/A</v>
      </c>
      <c r="GF186" s="57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7" t="e">
        <f t="shared" si="137"/>
        <v>#N/A</v>
      </c>
      <c r="GZ186" s="57" t="e">
        <f ca="1">AVERAGE(OFFSET($GY$3,0,0,'Données projet'!$E$18+1,1))-AVERAGE(OFFSET($H$3,0,0,'Données projet'!$E$18+1,1))</f>
        <v>#N/A</v>
      </c>
      <c r="HA186" s="57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0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4">
        <f t="shared" si="110"/>
        <v>256.66666666666669</v>
      </c>
      <c r="I187" s="6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636.99999999999977</v>
      </c>
      <c r="O187" s="13">
        <f>N187*VLOOKUP('Données projet'!$B$9,Paramètres!$A$1:$I$89,3,0)*VLOOKUP('Données projet'!$B$9,Paramètres!$A$1:$I$89,5,0)</f>
        <v>356.08299999999991</v>
      </c>
      <c r="P187" s="13">
        <f t="shared" si="141"/>
        <v>82.813805255716545</v>
      </c>
      <c r="Q187" s="20">
        <f t="shared" si="162"/>
        <v>764.41193582037283</v>
      </c>
      <c r="R187" s="57">
        <f t="shared" si="109"/>
        <v>1057.7452691537062</v>
      </c>
      <c r="S187" s="57">
        <f ca="1">AVERAGE(OFFSET($R$3,0,0,'Données projet'!$E$9+1,1))-AVERAGE(OFFSET($H$3,0,0,'Données projet'!$E$9+1,1))</f>
        <v>443.34220761968419</v>
      </c>
      <c r="T187" s="57">
        <f t="shared" si="142"/>
        <v>546.58234447298014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8.3854116318166412</v>
      </c>
      <c r="AA187" s="21">
        <f>EXP(-LN(2)/25)*AA186+(1-EXP(-LN(2)/25))/(LN(2)/25)*Calculateur!V187*Calculateur!X187*VLOOKUP('Données projet'!$B$9,Paramètres!$A$1:$I$89,3,0)*0.475*44/12</f>
        <v>0.30678808053649392</v>
      </c>
      <c r="AB187" s="21">
        <f>EXP(-LN(2)/2)*AB186+(1-EXP(-LN(2)/2))/(LN(2)/2)*V187*Y187*VLOOKUP('Données projet'!$B$9,Paramètres!$A$1:$I$89,3,0)*0.475*44/12</f>
        <v>3.9981257693182402E-23</v>
      </c>
      <c r="AC187" s="22">
        <f t="shared" si="163"/>
        <v>8.6921997123531352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911.99999999999898</v>
      </c>
      <c r="AJ187" s="13">
        <f>AI187*VLOOKUP('Données projet'!$B$10,Paramètres!$A$1:$I$89,3,0)*VLOOKUP('Données projet'!$B$10,Paramètres!$A$1:$I$89,5,0)</f>
        <v>426.81599999999946</v>
      </c>
      <c r="AK187" s="13">
        <f t="shared" si="164"/>
        <v>97.192496986872399</v>
      </c>
      <c r="AL187" s="20">
        <f t="shared" si="165"/>
        <v>912.64813225213504</v>
      </c>
      <c r="AM187" s="57">
        <f t="shared" si="113"/>
        <v>1205.9814655854684</v>
      </c>
      <c r="AN187" s="57">
        <f ca="1">AVERAGE(OFFSET($AM$3,0,0,'Données projet'!$E$10+1,1))-AVERAGE(OFFSET($H$3,0,0,'Données projet'!$E$10+1,1))</f>
        <v>524.3999528951972</v>
      </c>
      <c r="AO187" s="57">
        <f t="shared" si="144"/>
        <v>459.3547783500515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18.94979404207092</v>
      </c>
      <c r="AV187" s="21">
        <f>EXP(-LN(2)/25)*AV186+(1-EXP(-LN(2)/25))/(LN(2)/25)*Calculateur!AQ187*Calculateur!AS187*VLOOKUP('Données projet'!$B$10,Paramètres!$A$1:$I$89,3,0)*0.475*44/12</f>
        <v>0.74735596614335398</v>
      </c>
      <c r="AW187" s="21">
        <f>EXP(-LN(2)/2)*AW186+(1-EXP(-LN(2)/2))/(LN(2)/2)*AQ187*AT187*VLOOKUP('Données projet'!$B$10,Paramètres!$A$1:$I$89,3,0)*0.475*44/12</f>
        <v>7.8895865400603018E-24</v>
      </c>
      <c r="AX187" s="21">
        <f t="shared" si="166"/>
        <v>19.697150008214273</v>
      </c>
      <c r="AY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852.00000000000011</v>
      </c>
      <c r="BE187" s="13">
        <f>BD187*VLOOKUP('Données projet'!$B$11,Paramètres!$A$1:$I$89,3,0)*VLOOKUP('Données projet'!$B$11,Paramètres!$A$1:$I$89,5,0)</f>
        <v>409.81200000000013</v>
      </c>
      <c r="BF187" s="13">
        <f t="shared" si="167"/>
        <v>93.76308331402879</v>
      </c>
      <c r="BG187" s="20">
        <f t="shared" si="168"/>
        <v>877.05993677193362</v>
      </c>
      <c r="BH187" s="57">
        <f t="shared" si="116"/>
        <v>1170.393270105267</v>
      </c>
      <c r="BI187" s="57">
        <f ca="1">AVERAGE(OFFSET($BH$3,0,0,'Données projet'!$E$11+1,1))-AVERAGE(OFFSET($H$3,0,0,'Données projet'!$E$11+1,1))</f>
        <v>495.6473104257044</v>
      </c>
      <c r="BJ187" s="57">
        <f t="shared" si="146"/>
        <v>430.92527296485201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19.741040259991671</v>
      </c>
      <c r="BQ187" s="21">
        <f>EXP(-LN(2)/25)*BQ186+(1-EXP(-LN(2)/25))/(LN(2)/25)*Calculateur!BL187*Calculateur!BN187*VLOOKUP('Données projet'!$B$11,Paramètres!$A$1:$I$89,3,0)*0.475*44/12</f>
        <v>0.70410619958413101</v>
      </c>
      <c r="BR187" s="21">
        <f>EXP(-LN(2)/2)*BR186+(1-EXP(-LN(2)/2))/(LN(2)/2)*BL187*BO187*VLOOKUP('Données projet'!$B$11,Paramètres!$A$1:$I$89,3,0)*0.475*44/12</f>
        <v>4.8427207504768296E-24</v>
      </c>
      <c r="BS187" s="22">
        <f t="shared" si="169"/>
        <v>20.445146459575803</v>
      </c>
      <c r="BT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7" t="e">
        <f t="shared" si="119"/>
        <v>#NUM!</v>
      </c>
      <c r="CD187" s="57">
        <f ca="1">AVERAGE(OFFSET($CC$3,0,0,'Données projet'!$E$12+1,1))-AVERAGE(OFFSET($H$3,0,0,'Données projet'!$E$12+1,1))</f>
        <v>187.80389738728508</v>
      </c>
      <c r="CE187" s="57">
        <f t="shared" si="148"/>
        <v>439.28159165815265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5.8501857833263262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8.1667157396958247E-24</v>
      </c>
      <c r="CN187" s="22">
        <f t="shared" si="172"/>
        <v>5.8501857833263262</v>
      </c>
      <c r="CO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267</v>
      </c>
      <c r="CU187" s="17">
        <f>CT187*VLOOKUP('Données projet'!$B$13,Paramètres!$A$1:$I$89,3,0)*VLOOKUP('Données projet'!$B$13,Paramètres!$A$1:$I$89,5,0)</f>
        <v>241.58159999999998</v>
      </c>
      <c r="CV187" s="13">
        <f t="shared" si="173"/>
        <v>58.779689232021951</v>
      </c>
      <c r="CW187" s="20">
        <f t="shared" si="174"/>
        <v>523.12924541243819</v>
      </c>
      <c r="CX187" s="57">
        <f t="shared" si="122"/>
        <v>816.46257874577145</v>
      </c>
      <c r="CY187" s="57">
        <f ca="1">AVERAGE(OFFSET($CX$3,0,0,'Données projet'!$E$13+1,1))-AVERAGE(OFFSET($H$3,0,0,'Données projet'!$E$13+1,1))</f>
        <v>364.3481978218424</v>
      </c>
      <c r="CZ187" s="57">
        <f t="shared" si="150"/>
        <v>231.36959598460686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19.274576008310738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19.274576008310738</v>
      </c>
      <c r="DJ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255.00000000000006</v>
      </c>
      <c r="DP187" s="17">
        <f>DO187*VLOOKUP('Données projet'!$B$14,Paramètres!$A$1:$I$89,3,0)*VLOOKUP('Données projet'!$B$14,Paramètres!$A$1:$I$89,5,0)</f>
        <v>186.96600000000004</v>
      </c>
      <c r="DQ187" s="13">
        <f t="shared" si="176"/>
        <v>46.868551400324648</v>
      </c>
      <c r="DR187" s="20">
        <f t="shared" si="177"/>
        <v>407.26184368889881</v>
      </c>
      <c r="DS187" s="57">
        <f t="shared" si="125"/>
        <v>700.59517702223206</v>
      </c>
      <c r="DT187" s="57">
        <f ca="1">AVERAGE(OFFSET($DS$3,0,0,'Données projet'!$E$14+1,1))-AVERAGE(OFFSET($H$3,0,0,'Données projet'!$E$14+1,1))</f>
        <v>239.25212250019609</v>
      </c>
      <c r="DU187" s="57">
        <f t="shared" si="152"/>
        <v>213.58492101729695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403.99999999999994</v>
      </c>
      <c r="EK187" s="17">
        <f>EJ187*VLOOKUP('Données projet'!$B$15,Paramètres!$A$1:$I$89,3,0)*VLOOKUP('Données projet'!$B$15,Paramètres!$A$1:$I$89,5,0)</f>
        <v>346.63200000000001</v>
      </c>
      <c r="EL187" s="13">
        <f t="shared" si="179"/>
        <v>80.868615263336864</v>
      </c>
      <c r="EM187" s="20">
        <f t="shared" si="180"/>
        <v>744.56357158364483</v>
      </c>
      <c r="EN187" s="57">
        <f t="shared" si="128"/>
        <v>1037.8969049169782</v>
      </c>
      <c r="EO187" s="57">
        <f ca="1">AVERAGE(OFFSET($EN$3,0,0,'Données projet'!$E$15+1,1))-AVERAGE(OFFSET($H$3,0,0,'Données projet'!$E$15+1,1))</f>
        <v>447.10969593632467</v>
      </c>
      <c r="EP187" s="57">
        <f t="shared" si="154"/>
        <v>256.77417912163997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28.013669634139021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28.013669634139021</v>
      </c>
      <c r="EZ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7" t="e">
        <f t="shared" si="131"/>
        <v>#N/A</v>
      </c>
      <c r="FJ187" s="57" t="e">
        <f ca="1">AVERAGE(OFFSET($FI$3,0,0,'Données projet'!$E$16+1,1))-AVERAGE(OFFSET($H$3,0,0,'Données projet'!$E$16+1,1))</f>
        <v>#N/A</v>
      </c>
      <c r="FK187" s="57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7" t="e">
        <f t="shared" si="134"/>
        <v>#N/A</v>
      </c>
      <c r="GE187" s="57" t="e">
        <f ca="1">AVERAGE(OFFSET($GD$3,0,0,'Données projet'!$E$17+1,1))-AVERAGE(OFFSET($H$3,0,0,'Données projet'!$E$17+1,1))</f>
        <v>#N/A</v>
      </c>
      <c r="GF187" s="57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7" t="e">
        <f t="shared" si="137"/>
        <v>#N/A</v>
      </c>
      <c r="GZ187" s="57" t="e">
        <f ca="1">AVERAGE(OFFSET($GY$3,0,0,'Données projet'!$E$18+1,1))-AVERAGE(OFFSET($H$3,0,0,'Données projet'!$E$18+1,1))</f>
        <v>#N/A</v>
      </c>
      <c r="HA187" s="57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0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4">
        <f t="shared" si="110"/>
        <v>256.66666666666669</v>
      </c>
      <c r="I188" s="6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636.99999999999977</v>
      </c>
      <c r="O188" s="13">
        <f>N188*VLOOKUP('Données projet'!$B$9,Paramètres!$A$1:$I$89,3,0)*VLOOKUP('Données projet'!$B$9,Paramètres!$A$1:$I$89,5,0)</f>
        <v>356.08299999999991</v>
      </c>
      <c r="P188" s="13">
        <f t="shared" si="141"/>
        <v>82.813805255716545</v>
      </c>
      <c r="Q188" s="20">
        <f t="shared" si="162"/>
        <v>764.41193582037283</v>
      </c>
      <c r="R188" s="57">
        <f t="shared" si="109"/>
        <v>1057.7452691537062</v>
      </c>
      <c r="S188" s="57">
        <f ca="1">AVERAGE(OFFSET($R$3,0,0,'Données projet'!$E$9+1,1))-AVERAGE(OFFSET($H$3,0,0,'Données projet'!$E$9+1,1))</f>
        <v>443.34220761968419</v>
      </c>
      <c r="T188" s="57">
        <f t="shared" si="142"/>
        <v>546.58234447298014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8.2209788243127875</v>
      </c>
      <c r="AA188" s="21">
        <f>EXP(-LN(2)/25)*AA187+(1-EXP(-LN(2)/25))/(LN(2)/25)*Calculateur!V188*Calculateur!X188*VLOOKUP('Données projet'!$B$9,Paramètres!$A$1:$I$89,3,0)*0.475*44/12</f>
        <v>0.2983989443409395</v>
      </c>
      <c r="AB188" s="21">
        <f>EXP(-LN(2)/2)*AB187+(1-EXP(-LN(2)/2))/(LN(2)/2)*V188*Y188*VLOOKUP('Données projet'!$B$9,Paramètres!$A$1:$I$89,3,0)*0.475*44/12</f>
        <v>2.8271018435216099E-23</v>
      </c>
      <c r="AC188" s="22">
        <f t="shared" si="163"/>
        <v>8.5193777686537278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911.99999999999898</v>
      </c>
      <c r="AJ188" s="13">
        <f>AI188*VLOOKUP('Données projet'!$B$10,Paramètres!$A$1:$I$89,3,0)*VLOOKUP('Données projet'!$B$10,Paramètres!$A$1:$I$89,5,0)</f>
        <v>426.81599999999946</v>
      </c>
      <c r="AK188" s="13">
        <f t="shared" si="164"/>
        <v>97.192496986872399</v>
      </c>
      <c r="AL188" s="20">
        <f t="shared" si="165"/>
        <v>912.64813225213504</v>
      </c>
      <c r="AM188" s="57">
        <f t="shared" si="113"/>
        <v>1205.9814655854684</v>
      </c>
      <c r="AN188" s="57">
        <f ca="1">AVERAGE(OFFSET($AM$3,0,0,'Données projet'!$E$10+1,1))-AVERAGE(OFFSET($H$3,0,0,'Données projet'!$E$10+1,1))</f>
        <v>524.3999528951972</v>
      </c>
      <c r="AO188" s="57">
        <f t="shared" si="144"/>
        <v>459.3547783500515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18.578200139138993</v>
      </c>
      <c r="AV188" s="21">
        <f>EXP(-LN(2)/25)*AV187+(1-EXP(-LN(2)/25))/(LN(2)/25)*Calculateur!AQ188*Calculateur!AS188*VLOOKUP('Données projet'!$B$10,Paramètres!$A$1:$I$89,3,0)*0.475*44/12</f>
        <v>0.72691947794742184</v>
      </c>
      <c r="AW188" s="21">
        <f>EXP(-LN(2)/2)*AW187+(1-EXP(-LN(2)/2))/(LN(2)/2)*AQ188*AT188*VLOOKUP('Données projet'!$B$10,Paramètres!$A$1:$I$89,3,0)*0.475*44/12</f>
        <v>5.5787801432347505E-24</v>
      </c>
      <c r="AX188" s="21">
        <f t="shared" si="166"/>
        <v>19.305119617086415</v>
      </c>
      <c r="AY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852.00000000000011</v>
      </c>
      <c r="BE188" s="13">
        <f>BD188*VLOOKUP('Données projet'!$B$11,Paramètres!$A$1:$I$89,3,0)*VLOOKUP('Données projet'!$B$11,Paramètres!$A$1:$I$89,5,0)</f>
        <v>409.81200000000013</v>
      </c>
      <c r="BF188" s="13">
        <f t="shared" si="167"/>
        <v>93.76308331402879</v>
      </c>
      <c r="BG188" s="20">
        <f t="shared" si="168"/>
        <v>877.05993677193362</v>
      </c>
      <c r="BH188" s="57">
        <f t="shared" si="116"/>
        <v>1170.393270105267</v>
      </c>
      <c r="BI188" s="57">
        <f ca="1">AVERAGE(OFFSET($BH$3,0,0,'Données projet'!$E$11+1,1))-AVERAGE(OFFSET($H$3,0,0,'Données projet'!$E$11+1,1))</f>
        <v>495.6473104257044</v>
      </c>
      <c r="BJ188" s="57">
        <f t="shared" si="146"/>
        <v>430.92527296485201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19.353930501338859</v>
      </c>
      <c r="BQ188" s="21">
        <f>EXP(-LN(2)/25)*BQ187+(1-EXP(-LN(2)/25))/(LN(2)/25)*Calculateur!BL188*Calculateur!BN188*VLOOKUP('Données projet'!$B$11,Paramètres!$A$1:$I$89,3,0)*0.475*44/12</f>
        <v>0.68485237852916714</v>
      </c>
      <c r="BR188" s="21">
        <f>EXP(-LN(2)/2)*BR187+(1-EXP(-LN(2)/2))/(LN(2)/2)*BL188*BO188*VLOOKUP('Données projet'!$B$11,Paramètres!$A$1:$I$89,3,0)*0.475*44/12</f>
        <v>3.4243206820549728E-24</v>
      </c>
      <c r="BS188" s="22">
        <f t="shared" si="169"/>
        <v>20.038782879868027</v>
      </c>
      <c r="BT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7" t="e">
        <f t="shared" si="119"/>
        <v>#NUM!</v>
      </c>
      <c r="CD188" s="57">
        <f ca="1">AVERAGE(OFFSET($CC$3,0,0,'Données projet'!$E$12+1,1))-AVERAGE(OFFSET($H$3,0,0,'Données projet'!$E$12+1,1))</f>
        <v>187.80389738728508</v>
      </c>
      <c r="CE188" s="57">
        <f t="shared" si="148"/>
        <v>439.28159165815265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5.7354672083762885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5.7747400795618292E-24</v>
      </c>
      <c r="CN188" s="22">
        <f t="shared" si="172"/>
        <v>5.7354672083762885</v>
      </c>
      <c r="CO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267</v>
      </c>
      <c r="CU188" s="17">
        <f>CT188*VLOOKUP('Données projet'!$B$13,Paramètres!$A$1:$I$89,3,0)*VLOOKUP('Données projet'!$B$13,Paramètres!$A$1:$I$89,5,0)</f>
        <v>241.58159999999998</v>
      </c>
      <c r="CV188" s="13">
        <f t="shared" si="173"/>
        <v>58.779689232021951</v>
      </c>
      <c r="CW188" s="20">
        <f t="shared" si="174"/>
        <v>523.12924541243819</v>
      </c>
      <c r="CX188" s="57">
        <f t="shared" si="122"/>
        <v>816.46257874577145</v>
      </c>
      <c r="CY188" s="57">
        <f ca="1">AVERAGE(OFFSET($CX$3,0,0,'Données projet'!$E$13+1,1))-AVERAGE(OFFSET($H$3,0,0,'Données projet'!$E$13+1,1))</f>
        <v>364.3481978218424</v>
      </c>
      <c r="CZ188" s="57">
        <f t="shared" si="150"/>
        <v>231.36959598460686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18.896613329118289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18.896613329118289</v>
      </c>
      <c r="DJ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255.00000000000006</v>
      </c>
      <c r="DP188" s="17">
        <f>DO188*VLOOKUP('Données projet'!$B$14,Paramètres!$A$1:$I$89,3,0)*VLOOKUP('Données projet'!$B$14,Paramètres!$A$1:$I$89,5,0)</f>
        <v>186.96600000000004</v>
      </c>
      <c r="DQ188" s="13">
        <f t="shared" si="176"/>
        <v>46.868551400324648</v>
      </c>
      <c r="DR188" s="20">
        <f t="shared" si="177"/>
        <v>407.26184368889881</v>
      </c>
      <c r="DS188" s="57">
        <f t="shared" si="125"/>
        <v>700.59517702223206</v>
      </c>
      <c r="DT188" s="57">
        <f ca="1">AVERAGE(OFFSET($DS$3,0,0,'Données projet'!$E$14+1,1))-AVERAGE(OFFSET($H$3,0,0,'Données projet'!$E$14+1,1))</f>
        <v>239.25212250019609</v>
      </c>
      <c r="DU188" s="57">
        <f t="shared" si="152"/>
        <v>213.58492101729695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403.99999999999994</v>
      </c>
      <c r="EK188" s="17">
        <f>EJ188*VLOOKUP('Données projet'!$B$15,Paramètres!$A$1:$I$89,3,0)*VLOOKUP('Données projet'!$B$15,Paramètres!$A$1:$I$89,5,0)</f>
        <v>346.63200000000001</v>
      </c>
      <c r="EL188" s="13">
        <f t="shared" si="179"/>
        <v>80.868615263336864</v>
      </c>
      <c r="EM188" s="20">
        <f t="shared" si="180"/>
        <v>744.56357158364483</v>
      </c>
      <c r="EN188" s="57">
        <f t="shared" si="128"/>
        <v>1037.8969049169782</v>
      </c>
      <c r="EO188" s="57">
        <f ca="1">AVERAGE(OFFSET($EN$3,0,0,'Données projet'!$E$15+1,1))-AVERAGE(OFFSET($H$3,0,0,'Données projet'!$E$15+1,1))</f>
        <v>447.10969593632467</v>
      </c>
      <c r="EP188" s="57">
        <f t="shared" si="154"/>
        <v>256.77417912163997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27.464338659264865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27.464338659264865</v>
      </c>
      <c r="EZ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7" t="e">
        <f t="shared" si="131"/>
        <v>#N/A</v>
      </c>
      <c r="FJ188" s="57" t="e">
        <f ca="1">AVERAGE(OFFSET($FI$3,0,0,'Données projet'!$E$16+1,1))-AVERAGE(OFFSET($H$3,0,0,'Données projet'!$E$16+1,1))</f>
        <v>#N/A</v>
      </c>
      <c r="FK188" s="57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7" t="e">
        <f t="shared" si="134"/>
        <v>#N/A</v>
      </c>
      <c r="GE188" s="57" t="e">
        <f ca="1">AVERAGE(OFFSET($GD$3,0,0,'Données projet'!$E$17+1,1))-AVERAGE(OFFSET($H$3,0,0,'Données projet'!$E$17+1,1))</f>
        <v>#N/A</v>
      </c>
      <c r="GF188" s="57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7" t="e">
        <f t="shared" si="137"/>
        <v>#N/A</v>
      </c>
      <c r="GZ188" s="57" t="e">
        <f ca="1">AVERAGE(OFFSET($GY$3,0,0,'Données projet'!$E$18+1,1))-AVERAGE(OFFSET($H$3,0,0,'Données projet'!$E$18+1,1))</f>
        <v>#N/A</v>
      </c>
      <c r="HA188" s="57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0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4">
        <f t="shared" si="110"/>
        <v>256.66666666666669</v>
      </c>
      <c r="I189" s="6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636.99999999999977</v>
      </c>
      <c r="O189" s="13">
        <f>N189*VLOOKUP('Données projet'!$B$9,Paramètres!$A$1:$I$89,3,0)*VLOOKUP('Données projet'!$B$9,Paramètres!$A$1:$I$89,5,0)</f>
        <v>356.08299999999991</v>
      </c>
      <c r="P189" s="13">
        <f t="shared" si="141"/>
        <v>82.813805255716545</v>
      </c>
      <c r="Q189" s="20">
        <f t="shared" si="162"/>
        <v>764.41193582037283</v>
      </c>
      <c r="R189" s="57">
        <f t="shared" si="109"/>
        <v>1057.7452691537062</v>
      </c>
      <c r="S189" s="57">
        <f ca="1">AVERAGE(OFFSET($R$3,0,0,'Données projet'!$E$9+1,1))-AVERAGE(OFFSET($H$3,0,0,'Données projet'!$E$9+1,1))</f>
        <v>443.34220761968419</v>
      </c>
      <c r="T189" s="57">
        <f t="shared" si="142"/>
        <v>546.58234447298014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8.0597704438699758</v>
      </c>
      <c r="AA189" s="21">
        <f>EXP(-LN(2)/25)*AA188+(1-EXP(-LN(2)/25))/(LN(2)/25)*Calculateur!V189*Calculateur!X189*VLOOKUP('Données projet'!$B$9,Paramètres!$A$1:$I$89,3,0)*0.475*44/12</f>
        <v>0.290239209515818</v>
      </c>
      <c r="AB189" s="21">
        <f>EXP(-LN(2)/2)*AB188+(1-EXP(-LN(2)/2))/(LN(2)/2)*V189*Y189*VLOOKUP('Données projet'!$B$9,Paramètres!$A$1:$I$89,3,0)*0.475*44/12</f>
        <v>1.9990628846591201E-23</v>
      </c>
      <c r="AC189" s="22">
        <f t="shared" si="163"/>
        <v>8.3500096533857935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911.99999999999898</v>
      </c>
      <c r="AJ189" s="13">
        <f>AI189*VLOOKUP('Données projet'!$B$10,Paramètres!$A$1:$I$89,3,0)*VLOOKUP('Données projet'!$B$10,Paramètres!$A$1:$I$89,5,0)</f>
        <v>426.81599999999946</v>
      </c>
      <c r="AK189" s="13">
        <f t="shared" si="164"/>
        <v>97.192496986872399</v>
      </c>
      <c r="AL189" s="20">
        <f t="shared" si="165"/>
        <v>912.64813225213504</v>
      </c>
      <c r="AM189" s="57">
        <f t="shared" si="113"/>
        <v>1205.9814655854684</v>
      </c>
      <c r="AN189" s="57">
        <f ca="1">AVERAGE(OFFSET($AM$3,0,0,'Données projet'!$E$10+1,1))-AVERAGE(OFFSET($H$3,0,0,'Données projet'!$E$10+1,1))</f>
        <v>524.3999528951972</v>
      </c>
      <c r="AO189" s="57">
        <f t="shared" si="144"/>
        <v>459.3547783500515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18.213892965993661</v>
      </c>
      <c r="AV189" s="21">
        <f>EXP(-LN(2)/25)*AV188+(1-EXP(-LN(2)/25))/(LN(2)/25)*Calculateur!AQ189*Calculateur!AS189*VLOOKUP('Données projet'!$B$10,Paramètres!$A$1:$I$89,3,0)*0.475*44/12</f>
        <v>0.70704182659591563</v>
      </c>
      <c r="AW189" s="21">
        <f>EXP(-LN(2)/2)*AW188+(1-EXP(-LN(2)/2))/(LN(2)/2)*AQ189*AT189*VLOOKUP('Données projet'!$B$10,Paramètres!$A$1:$I$89,3,0)*0.475*44/12</f>
        <v>3.9447932700301509E-24</v>
      </c>
      <c r="AX189" s="21">
        <f t="shared" si="166"/>
        <v>18.920934792589577</v>
      </c>
      <c r="AY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852.00000000000011</v>
      </c>
      <c r="BE189" s="13">
        <f>BD189*VLOOKUP('Données projet'!$B$11,Paramètres!$A$1:$I$89,3,0)*VLOOKUP('Données projet'!$B$11,Paramètres!$A$1:$I$89,5,0)</f>
        <v>409.81200000000013</v>
      </c>
      <c r="BF189" s="13">
        <f t="shared" si="167"/>
        <v>93.76308331402879</v>
      </c>
      <c r="BG189" s="20">
        <f t="shared" si="168"/>
        <v>877.05993677193362</v>
      </c>
      <c r="BH189" s="57">
        <f t="shared" si="116"/>
        <v>1170.393270105267</v>
      </c>
      <c r="BI189" s="57">
        <f ca="1">AVERAGE(OFFSET($BH$3,0,0,'Données projet'!$E$11+1,1))-AVERAGE(OFFSET($H$3,0,0,'Données projet'!$E$11+1,1))</f>
        <v>495.6473104257044</v>
      </c>
      <c r="BJ189" s="57">
        <f t="shared" si="146"/>
        <v>430.92527296485201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18.974411728939589</v>
      </c>
      <c r="BQ189" s="21">
        <f>EXP(-LN(2)/25)*BQ188+(1-EXP(-LN(2)/25))/(LN(2)/25)*Calculateur!BL189*Calculateur!BN189*VLOOKUP('Données projet'!$B$11,Paramètres!$A$1:$I$89,3,0)*0.475*44/12</f>
        <v>0.66612505422346568</v>
      </c>
      <c r="BR189" s="21">
        <f>EXP(-LN(2)/2)*BR188+(1-EXP(-LN(2)/2))/(LN(2)/2)*BL189*BO189*VLOOKUP('Données projet'!$B$11,Paramètres!$A$1:$I$89,3,0)*0.475*44/12</f>
        <v>2.4213603752384148E-24</v>
      </c>
      <c r="BS189" s="22">
        <f t="shared" si="169"/>
        <v>19.640536783163054</v>
      </c>
      <c r="BT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7" t="e">
        <f t="shared" si="119"/>
        <v>#NUM!</v>
      </c>
      <c r="CD189" s="57">
        <f ca="1">AVERAGE(OFFSET($CC$3,0,0,'Données projet'!$E$12+1,1))-AVERAGE(OFFSET($H$3,0,0,'Données projet'!$E$12+1,1))</f>
        <v>187.80389738728508</v>
      </c>
      <c r="CE189" s="57">
        <f t="shared" si="148"/>
        <v>439.28159165815265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5.6229981947095995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4.0833578698479124E-24</v>
      </c>
      <c r="CN189" s="22">
        <f t="shared" si="172"/>
        <v>5.6229981947095995</v>
      </c>
      <c r="CO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267</v>
      </c>
      <c r="CU189" s="17">
        <f>CT189*VLOOKUP('Données projet'!$B$13,Paramètres!$A$1:$I$89,3,0)*VLOOKUP('Données projet'!$B$13,Paramètres!$A$1:$I$89,5,0)</f>
        <v>241.58159999999998</v>
      </c>
      <c r="CV189" s="13">
        <f t="shared" si="173"/>
        <v>58.779689232021951</v>
      </c>
      <c r="CW189" s="20">
        <f t="shared" si="174"/>
        <v>523.12924541243819</v>
      </c>
      <c r="CX189" s="57">
        <f t="shared" si="122"/>
        <v>816.46257874577145</v>
      </c>
      <c r="CY189" s="57">
        <f ca="1">AVERAGE(OFFSET($CX$3,0,0,'Données projet'!$E$13+1,1))-AVERAGE(OFFSET($H$3,0,0,'Données projet'!$E$13+1,1))</f>
        <v>364.3481978218424</v>
      </c>
      <c r="CZ189" s="57">
        <f t="shared" si="150"/>
        <v>231.36959598460686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18.526062267530332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18.526062267530332</v>
      </c>
      <c r="DJ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255.00000000000006</v>
      </c>
      <c r="DP189" s="17">
        <f>DO189*VLOOKUP('Données projet'!$B$14,Paramètres!$A$1:$I$89,3,0)*VLOOKUP('Données projet'!$B$14,Paramètres!$A$1:$I$89,5,0)</f>
        <v>186.96600000000004</v>
      </c>
      <c r="DQ189" s="13">
        <f t="shared" si="176"/>
        <v>46.868551400324648</v>
      </c>
      <c r="DR189" s="20">
        <f t="shared" si="177"/>
        <v>407.26184368889881</v>
      </c>
      <c r="DS189" s="57">
        <f t="shared" si="125"/>
        <v>700.59517702223206</v>
      </c>
      <c r="DT189" s="57">
        <f ca="1">AVERAGE(OFFSET($DS$3,0,0,'Données projet'!$E$14+1,1))-AVERAGE(OFFSET($H$3,0,0,'Données projet'!$E$14+1,1))</f>
        <v>239.25212250019609</v>
      </c>
      <c r="DU189" s="57">
        <f t="shared" si="152"/>
        <v>213.58492101729695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403.99999999999994</v>
      </c>
      <c r="EK189" s="17">
        <f>EJ189*VLOOKUP('Données projet'!$B$15,Paramètres!$A$1:$I$89,3,0)*VLOOKUP('Données projet'!$B$15,Paramètres!$A$1:$I$89,5,0)</f>
        <v>346.63200000000001</v>
      </c>
      <c r="EL189" s="13">
        <f t="shared" si="179"/>
        <v>80.868615263336864</v>
      </c>
      <c r="EM189" s="20">
        <f t="shared" si="180"/>
        <v>744.56357158364483</v>
      </c>
      <c r="EN189" s="57">
        <f t="shared" si="128"/>
        <v>1037.8969049169782</v>
      </c>
      <c r="EO189" s="57">
        <f ca="1">AVERAGE(OFFSET($EN$3,0,0,'Données projet'!$E$15+1,1))-AVERAGE(OFFSET($H$3,0,0,'Données projet'!$E$15+1,1))</f>
        <v>447.10969593632467</v>
      </c>
      <c r="EP189" s="57">
        <f t="shared" si="154"/>
        <v>256.77417912163997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26.925779729749181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26.925779729749181</v>
      </c>
      <c r="EZ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7" t="e">
        <f t="shared" si="131"/>
        <v>#N/A</v>
      </c>
      <c r="FJ189" s="57" t="e">
        <f ca="1">AVERAGE(OFFSET($FI$3,0,0,'Données projet'!$E$16+1,1))-AVERAGE(OFFSET($H$3,0,0,'Données projet'!$E$16+1,1))</f>
        <v>#N/A</v>
      </c>
      <c r="FK189" s="57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7" t="e">
        <f t="shared" si="134"/>
        <v>#N/A</v>
      </c>
      <c r="GE189" s="57" t="e">
        <f ca="1">AVERAGE(OFFSET($GD$3,0,0,'Données projet'!$E$17+1,1))-AVERAGE(OFFSET($H$3,0,0,'Données projet'!$E$17+1,1))</f>
        <v>#N/A</v>
      </c>
      <c r="GF189" s="57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7" t="e">
        <f t="shared" si="137"/>
        <v>#N/A</v>
      </c>
      <c r="GZ189" s="57" t="e">
        <f ca="1">AVERAGE(OFFSET($GY$3,0,0,'Données projet'!$E$18+1,1))-AVERAGE(OFFSET($H$3,0,0,'Données projet'!$E$18+1,1))</f>
        <v>#N/A</v>
      </c>
      <c r="HA189" s="57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0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4">
        <f t="shared" si="110"/>
        <v>256.66666666666669</v>
      </c>
      <c r="I190" s="6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636.99999999999977</v>
      </c>
      <c r="O190" s="13">
        <f>N190*VLOOKUP('Données projet'!$B$9,Paramètres!$A$1:$I$89,3,0)*VLOOKUP('Données projet'!$B$9,Paramètres!$A$1:$I$89,5,0)</f>
        <v>356.08299999999991</v>
      </c>
      <c r="P190" s="13">
        <f t="shared" si="141"/>
        <v>82.813805255716545</v>
      </c>
      <c r="Q190" s="20">
        <f t="shared" si="162"/>
        <v>764.41193582037283</v>
      </c>
      <c r="R190" s="57">
        <f t="shared" si="109"/>
        <v>1057.7452691537062</v>
      </c>
      <c r="S190" s="57">
        <f ca="1">AVERAGE(OFFSET($R$3,0,0,'Données projet'!$E$9+1,1))-AVERAGE(OFFSET($H$3,0,0,'Données projet'!$E$9+1,1))</f>
        <v>443.34220761968419</v>
      </c>
      <c r="T190" s="57">
        <f t="shared" si="142"/>
        <v>546.58234447298014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7.9017232614402442</v>
      </c>
      <c r="AA190" s="21">
        <f>EXP(-LN(2)/25)*AA189+(1-EXP(-LN(2)/25))/(LN(2)/25)*Calculateur!V190*Calculateur!X190*VLOOKUP('Données projet'!$B$9,Paramètres!$A$1:$I$89,3,0)*0.475*44/12</f>
        <v>0.28230260306859128</v>
      </c>
      <c r="AB190" s="21">
        <f>EXP(-LN(2)/2)*AB189+(1-EXP(-LN(2)/2))/(LN(2)/2)*V190*Y190*VLOOKUP('Données projet'!$B$9,Paramètres!$A$1:$I$89,3,0)*0.475*44/12</f>
        <v>1.4135509217608049E-23</v>
      </c>
      <c r="AC190" s="22">
        <f t="shared" si="163"/>
        <v>8.1840258645088362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911.99999999999898</v>
      </c>
      <c r="AJ190" s="13">
        <f>AI190*VLOOKUP('Données projet'!$B$10,Paramètres!$A$1:$I$89,3,0)*VLOOKUP('Données projet'!$B$10,Paramètres!$A$1:$I$89,5,0)</f>
        <v>426.81599999999946</v>
      </c>
      <c r="AK190" s="13">
        <f t="shared" si="164"/>
        <v>97.192496986872399</v>
      </c>
      <c r="AL190" s="20">
        <f t="shared" si="165"/>
        <v>912.64813225213504</v>
      </c>
      <c r="AM190" s="57">
        <f t="shared" si="113"/>
        <v>1205.9814655854684</v>
      </c>
      <c r="AN190" s="57">
        <f ca="1">AVERAGE(OFFSET($AM$3,0,0,'Données projet'!$E$10+1,1))-AVERAGE(OFFSET($H$3,0,0,'Données projet'!$E$10+1,1))</f>
        <v>524.3999528951972</v>
      </c>
      <c r="AO190" s="57">
        <f t="shared" si="144"/>
        <v>459.3547783500515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17.856729634308277</v>
      </c>
      <c r="AV190" s="21">
        <f>EXP(-LN(2)/25)*AV189+(1-EXP(-LN(2)/25))/(LN(2)/25)*Calculateur!AQ190*Calculateur!AS190*VLOOKUP('Données projet'!$B$10,Paramètres!$A$1:$I$89,3,0)*0.475*44/12</f>
        <v>0.6877077306659366</v>
      </c>
      <c r="AW190" s="21">
        <f>EXP(-LN(2)/2)*AW189+(1-EXP(-LN(2)/2))/(LN(2)/2)*AQ190*AT190*VLOOKUP('Données projet'!$B$10,Paramètres!$A$1:$I$89,3,0)*0.475*44/12</f>
        <v>2.7893900716173752E-24</v>
      </c>
      <c r="AX190" s="21">
        <f t="shared" si="166"/>
        <v>18.544437364974215</v>
      </c>
      <c r="AY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852.00000000000011</v>
      </c>
      <c r="BE190" s="13">
        <f>BD190*VLOOKUP('Données projet'!$B$11,Paramètres!$A$1:$I$89,3,0)*VLOOKUP('Données projet'!$B$11,Paramètres!$A$1:$I$89,5,0)</f>
        <v>409.81200000000013</v>
      </c>
      <c r="BF190" s="13">
        <f t="shared" si="167"/>
        <v>93.76308331402879</v>
      </c>
      <c r="BG190" s="20">
        <f t="shared" si="168"/>
        <v>877.05993677193362</v>
      </c>
      <c r="BH190" s="57">
        <f t="shared" si="116"/>
        <v>1170.393270105267</v>
      </c>
      <c r="BI190" s="57">
        <f ca="1">AVERAGE(OFFSET($BH$3,0,0,'Données projet'!$E$11+1,1))-AVERAGE(OFFSET($H$3,0,0,'Données projet'!$E$11+1,1))</f>
        <v>495.6473104257044</v>
      </c>
      <c r="BJ190" s="57">
        <f t="shared" si="146"/>
        <v>430.92527296485201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18.602335088183477</v>
      </c>
      <c r="BQ190" s="21">
        <f>EXP(-LN(2)/25)*BQ189+(1-EXP(-LN(2)/25))/(LN(2)/25)*Calculateur!BL190*Calculateur!BN190*VLOOKUP('Données projet'!$B$11,Paramètres!$A$1:$I$89,3,0)*0.475*44/12</f>
        <v>0.64790982958573085</v>
      </c>
      <c r="BR190" s="21">
        <f>EXP(-LN(2)/2)*BR189+(1-EXP(-LN(2)/2))/(LN(2)/2)*BL190*BO190*VLOOKUP('Données projet'!$B$11,Paramètres!$A$1:$I$89,3,0)*0.475*44/12</f>
        <v>1.7121603410274864E-24</v>
      </c>
      <c r="BS190" s="22">
        <f t="shared" si="169"/>
        <v>19.250244917769209</v>
      </c>
      <c r="BT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7" t="e">
        <f t="shared" si="119"/>
        <v>#NUM!</v>
      </c>
      <c r="CD190" s="57">
        <f ca="1">AVERAGE(OFFSET($CC$3,0,0,'Données projet'!$E$12+1,1))-AVERAGE(OFFSET($H$3,0,0,'Données projet'!$E$12+1,1))</f>
        <v>187.80389738728508</v>
      </c>
      <c r="CE190" s="57">
        <f t="shared" si="148"/>
        <v>439.28159165815265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5.5127346298015896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2.8873700397809146E-24</v>
      </c>
      <c r="CN190" s="22">
        <f t="shared" si="172"/>
        <v>5.5127346298015896</v>
      </c>
      <c r="CO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267</v>
      </c>
      <c r="CU190" s="17">
        <f>CT190*VLOOKUP('Données projet'!$B$13,Paramètres!$A$1:$I$89,3,0)*VLOOKUP('Données projet'!$B$13,Paramètres!$A$1:$I$89,5,0)</f>
        <v>241.58159999999998</v>
      </c>
      <c r="CV190" s="13">
        <f t="shared" si="173"/>
        <v>58.779689232021951</v>
      </c>
      <c r="CW190" s="20">
        <f t="shared" si="174"/>
        <v>523.12924541243819</v>
      </c>
      <c r="CX190" s="57">
        <f t="shared" si="122"/>
        <v>816.46257874577145</v>
      </c>
      <c r="CY190" s="57">
        <f ca="1">AVERAGE(OFFSET($CX$3,0,0,'Données projet'!$E$13+1,1))-AVERAGE(OFFSET($H$3,0,0,'Données projet'!$E$13+1,1))</f>
        <v>364.3481978218424</v>
      </c>
      <c r="CZ190" s="57">
        <f t="shared" si="150"/>
        <v>231.36959598460686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18.162777486246284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18.162777486246284</v>
      </c>
      <c r="DJ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255.00000000000006</v>
      </c>
      <c r="DP190" s="17">
        <f>DO190*VLOOKUP('Données projet'!$B$14,Paramètres!$A$1:$I$89,3,0)*VLOOKUP('Données projet'!$B$14,Paramètres!$A$1:$I$89,5,0)</f>
        <v>186.96600000000004</v>
      </c>
      <c r="DQ190" s="13">
        <f t="shared" si="176"/>
        <v>46.868551400324648</v>
      </c>
      <c r="DR190" s="20">
        <f t="shared" si="177"/>
        <v>407.26184368889881</v>
      </c>
      <c r="DS190" s="57">
        <f t="shared" si="125"/>
        <v>700.59517702223206</v>
      </c>
      <c r="DT190" s="57">
        <f ca="1">AVERAGE(OFFSET($DS$3,0,0,'Données projet'!$E$14+1,1))-AVERAGE(OFFSET($H$3,0,0,'Données projet'!$E$14+1,1))</f>
        <v>239.25212250019609</v>
      </c>
      <c r="DU190" s="57">
        <f t="shared" si="152"/>
        <v>213.58492101729695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403.99999999999994</v>
      </c>
      <c r="EK190" s="17">
        <f>EJ190*VLOOKUP('Données projet'!$B$15,Paramètres!$A$1:$I$89,3,0)*VLOOKUP('Données projet'!$B$15,Paramètres!$A$1:$I$89,5,0)</f>
        <v>346.63200000000001</v>
      </c>
      <c r="EL190" s="13">
        <f t="shared" si="179"/>
        <v>80.868615263336864</v>
      </c>
      <c r="EM190" s="20">
        <f t="shared" si="180"/>
        <v>744.56357158364483</v>
      </c>
      <c r="EN190" s="57">
        <f t="shared" si="128"/>
        <v>1037.8969049169782</v>
      </c>
      <c r="EO190" s="57">
        <f ca="1">AVERAGE(OFFSET($EN$3,0,0,'Données projet'!$E$15+1,1))-AVERAGE(OFFSET($H$3,0,0,'Données projet'!$E$15+1,1))</f>
        <v>447.10969593632467</v>
      </c>
      <c r="EP190" s="57">
        <f t="shared" si="154"/>
        <v>256.77417912163997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26.397781612352787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26.397781612352787</v>
      </c>
      <c r="EZ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7" t="e">
        <f t="shared" si="131"/>
        <v>#N/A</v>
      </c>
      <c r="FJ190" s="57" t="e">
        <f ca="1">AVERAGE(OFFSET($FI$3,0,0,'Données projet'!$E$16+1,1))-AVERAGE(OFFSET($H$3,0,0,'Données projet'!$E$16+1,1))</f>
        <v>#N/A</v>
      </c>
      <c r="FK190" s="57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7" t="e">
        <f t="shared" si="134"/>
        <v>#N/A</v>
      </c>
      <c r="GE190" s="57" t="e">
        <f ca="1">AVERAGE(OFFSET($GD$3,0,0,'Données projet'!$E$17+1,1))-AVERAGE(OFFSET($H$3,0,0,'Données projet'!$E$17+1,1))</f>
        <v>#N/A</v>
      </c>
      <c r="GF190" s="57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7" t="e">
        <f t="shared" si="137"/>
        <v>#N/A</v>
      </c>
      <c r="GZ190" s="57" t="e">
        <f ca="1">AVERAGE(OFFSET($GY$3,0,0,'Données projet'!$E$18+1,1))-AVERAGE(OFFSET($H$3,0,0,'Données projet'!$E$18+1,1))</f>
        <v>#N/A</v>
      </c>
      <c r="HA190" s="57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0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4">
        <f t="shared" si="110"/>
        <v>256.66666666666669</v>
      </c>
      <c r="I191" s="6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636.99999999999977</v>
      </c>
      <c r="O191" s="13">
        <f>N191*VLOOKUP('Données projet'!$B$9,Paramètres!$A$1:$I$89,3,0)*VLOOKUP('Données projet'!$B$9,Paramètres!$A$1:$I$89,5,0)</f>
        <v>356.08299999999991</v>
      </c>
      <c r="P191" s="13">
        <f t="shared" si="141"/>
        <v>82.813805255716545</v>
      </c>
      <c r="Q191" s="20">
        <f t="shared" si="162"/>
        <v>764.41193582037283</v>
      </c>
      <c r="R191" s="57">
        <f t="shared" si="109"/>
        <v>1057.7452691537062</v>
      </c>
      <c r="S191" s="57">
        <f ca="1">AVERAGE(OFFSET($R$3,0,0,'Données projet'!$E$9+1,1))-AVERAGE(OFFSET($H$3,0,0,'Données projet'!$E$9+1,1))</f>
        <v>443.34220761968419</v>
      </c>
      <c r="T191" s="57">
        <f t="shared" si="142"/>
        <v>546.58234447298014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7.7467752878586973</v>
      </c>
      <c r="AA191" s="21">
        <f>EXP(-LN(2)/25)*AA190+(1-EXP(-LN(2)/25))/(LN(2)/25)*Calculateur!V191*Calculateur!X191*VLOOKUP('Données projet'!$B$9,Paramètres!$A$1:$I$89,3,0)*0.475*44/12</f>
        <v>0.27458302354203196</v>
      </c>
      <c r="AB191" s="21">
        <f>EXP(-LN(2)/2)*AB190+(1-EXP(-LN(2)/2))/(LN(2)/2)*V191*Y191*VLOOKUP('Données projet'!$B$9,Paramètres!$A$1:$I$89,3,0)*0.475*44/12</f>
        <v>9.9953144232956006E-24</v>
      </c>
      <c r="AC191" s="22">
        <f t="shared" si="163"/>
        <v>8.0213583114007285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911.99999999999898</v>
      </c>
      <c r="AJ191" s="13">
        <f>AI191*VLOOKUP('Données projet'!$B$10,Paramètres!$A$1:$I$89,3,0)*VLOOKUP('Données projet'!$B$10,Paramètres!$A$1:$I$89,5,0)</f>
        <v>426.81599999999946</v>
      </c>
      <c r="AK191" s="13">
        <f t="shared" si="164"/>
        <v>97.192496986872399</v>
      </c>
      <c r="AL191" s="20">
        <f t="shared" si="165"/>
        <v>912.64813225213504</v>
      </c>
      <c r="AM191" s="57">
        <f t="shared" si="113"/>
        <v>1205.9814655854684</v>
      </c>
      <c r="AN191" s="57">
        <f ca="1">AVERAGE(OFFSET($AM$3,0,0,'Données projet'!$E$10+1,1))-AVERAGE(OFFSET($H$3,0,0,'Données projet'!$E$10+1,1))</f>
        <v>524.3999528951972</v>
      </c>
      <c r="AO191" s="57">
        <f t="shared" si="144"/>
        <v>459.3547783500515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17.506570057709119</v>
      </c>
      <c r="AV191" s="21">
        <f>EXP(-LN(2)/25)*AV190+(1-EXP(-LN(2)/25))/(LN(2)/25)*Calculateur!AQ191*Calculateur!AS191*VLOOKUP('Données projet'!$B$10,Paramètres!$A$1:$I$89,3,0)*0.475*44/12</f>
        <v>0.66890232660589877</v>
      </c>
      <c r="AW191" s="21">
        <f>EXP(-LN(2)/2)*AW190+(1-EXP(-LN(2)/2))/(LN(2)/2)*AQ191*AT191*VLOOKUP('Données projet'!$B$10,Paramètres!$A$1:$I$89,3,0)*0.475*44/12</f>
        <v>1.9723966350150755E-24</v>
      </c>
      <c r="AX191" s="21">
        <f t="shared" si="166"/>
        <v>18.175472384315018</v>
      </c>
      <c r="AY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852.00000000000011</v>
      </c>
      <c r="BE191" s="13">
        <f>BD191*VLOOKUP('Données projet'!$B$11,Paramètres!$A$1:$I$89,3,0)*VLOOKUP('Données projet'!$B$11,Paramètres!$A$1:$I$89,5,0)</f>
        <v>409.81200000000013</v>
      </c>
      <c r="BF191" s="13">
        <f t="shared" si="167"/>
        <v>93.76308331402879</v>
      </c>
      <c r="BG191" s="20">
        <f t="shared" si="168"/>
        <v>877.05993677193362</v>
      </c>
      <c r="BH191" s="57">
        <f t="shared" si="116"/>
        <v>1170.393270105267</v>
      </c>
      <c r="BI191" s="57">
        <f ca="1">AVERAGE(OFFSET($BH$3,0,0,'Données projet'!$E$11+1,1))-AVERAGE(OFFSET($H$3,0,0,'Données projet'!$E$11+1,1))</f>
        <v>495.6473104257044</v>
      </c>
      <c r="BJ191" s="57">
        <f t="shared" si="146"/>
        <v>430.92527296485201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18.237554643408249</v>
      </c>
      <c r="BQ191" s="21">
        <f>EXP(-LN(2)/25)*BQ190+(1-EXP(-LN(2)/25))/(LN(2)/25)*Calculateur!BL191*Calculateur!BN191*VLOOKUP('Données projet'!$B$11,Paramètres!$A$1:$I$89,3,0)*0.475*44/12</f>
        <v>0.63019270122361193</v>
      </c>
      <c r="BR191" s="21">
        <f>EXP(-LN(2)/2)*BR190+(1-EXP(-LN(2)/2))/(LN(2)/2)*BL191*BO191*VLOOKUP('Données projet'!$B$11,Paramètres!$A$1:$I$89,3,0)*0.475*44/12</f>
        <v>1.2106801876192074E-24</v>
      </c>
      <c r="BS191" s="22">
        <f t="shared" si="169"/>
        <v>18.867747344631862</v>
      </c>
      <c r="BT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7" t="e">
        <f t="shared" si="119"/>
        <v>#NUM!</v>
      </c>
      <c r="CD191" s="57">
        <f ca="1">AVERAGE(OFFSET($CC$3,0,0,'Données projet'!$E$12+1,1))-AVERAGE(OFFSET($H$3,0,0,'Données projet'!$E$12+1,1))</f>
        <v>187.80389738728508</v>
      </c>
      <c r="CE191" s="57">
        <f t="shared" si="148"/>
        <v>439.28159165815265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5.4046332661472913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2.0416789349239562E-24</v>
      </c>
      <c r="CN191" s="22">
        <f t="shared" si="172"/>
        <v>5.4046332661472913</v>
      </c>
      <c r="CO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267</v>
      </c>
      <c r="CU191" s="17">
        <f>CT191*VLOOKUP('Données projet'!$B$13,Paramètres!$A$1:$I$89,3,0)*VLOOKUP('Données projet'!$B$13,Paramètres!$A$1:$I$89,5,0)</f>
        <v>241.58159999999998</v>
      </c>
      <c r="CV191" s="13">
        <f t="shared" si="173"/>
        <v>58.779689232021951</v>
      </c>
      <c r="CW191" s="20">
        <f t="shared" si="174"/>
        <v>523.12924541243819</v>
      </c>
      <c r="CX191" s="57">
        <f t="shared" si="122"/>
        <v>816.46257874577145</v>
      </c>
      <c r="CY191" s="57">
        <f ca="1">AVERAGE(OFFSET($CX$3,0,0,'Données projet'!$E$13+1,1))-AVERAGE(OFFSET($H$3,0,0,'Données projet'!$E$13+1,1))</f>
        <v>364.3481978218424</v>
      </c>
      <c r="CZ191" s="57">
        <f t="shared" si="150"/>
        <v>231.36959598460686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17.806616497941381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17.806616497941381</v>
      </c>
      <c r="DJ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255.00000000000006</v>
      </c>
      <c r="DP191" s="17">
        <f>DO191*VLOOKUP('Données projet'!$B$14,Paramètres!$A$1:$I$89,3,0)*VLOOKUP('Données projet'!$B$14,Paramètres!$A$1:$I$89,5,0)</f>
        <v>186.96600000000004</v>
      </c>
      <c r="DQ191" s="13">
        <f t="shared" si="176"/>
        <v>46.868551400324648</v>
      </c>
      <c r="DR191" s="20">
        <f t="shared" si="177"/>
        <v>407.26184368889881</v>
      </c>
      <c r="DS191" s="57">
        <f t="shared" si="125"/>
        <v>700.59517702223206</v>
      </c>
      <c r="DT191" s="57">
        <f ca="1">AVERAGE(OFFSET($DS$3,0,0,'Données projet'!$E$14+1,1))-AVERAGE(OFFSET($H$3,0,0,'Données projet'!$E$14+1,1))</f>
        <v>239.25212250019609</v>
      </c>
      <c r="DU191" s="57">
        <f t="shared" si="152"/>
        <v>213.58492101729695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403.99999999999994</v>
      </c>
      <c r="EK191" s="17">
        <f>EJ191*VLOOKUP('Données projet'!$B$15,Paramètres!$A$1:$I$89,3,0)*VLOOKUP('Données projet'!$B$15,Paramètres!$A$1:$I$89,5,0)</f>
        <v>346.63200000000001</v>
      </c>
      <c r="EL191" s="13">
        <f t="shared" si="179"/>
        <v>80.868615263336864</v>
      </c>
      <c r="EM191" s="20">
        <f t="shared" si="180"/>
        <v>744.56357158364483</v>
      </c>
      <c r="EN191" s="57">
        <f t="shared" si="128"/>
        <v>1037.8969049169782</v>
      </c>
      <c r="EO191" s="57">
        <f ca="1">AVERAGE(OFFSET($EN$3,0,0,'Données projet'!$E$15+1,1))-AVERAGE(OFFSET($H$3,0,0,'Données projet'!$E$15+1,1))</f>
        <v>447.10969593632467</v>
      </c>
      <c r="EP191" s="57">
        <f t="shared" si="154"/>
        <v>256.77417912163997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25.880137215991486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25.880137215991486</v>
      </c>
      <c r="EZ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7" t="e">
        <f t="shared" si="131"/>
        <v>#N/A</v>
      </c>
      <c r="FJ191" s="57" t="e">
        <f ca="1">AVERAGE(OFFSET($FI$3,0,0,'Données projet'!$E$16+1,1))-AVERAGE(OFFSET($H$3,0,0,'Données projet'!$E$16+1,1))</f>
        <v>#N/A</v>
      </c>
      <c r="FK191" s="57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7" t="e">
        <f t="shared" si="134"/>
        <v>#N/A</v>
      </c>
      <c r="GE191" s="57" t="e">
        <f ca="1">AVERAGE(OFFSET($GD$3,0,0,'Données projet'!$E$17+1,1))-AVERAGE(OFFSET($H$3,0,0,'Données projet'!$E$17+1,1))</f>
        <v>#N/A</v>
      </c>
      <c r="GF191" s="57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7" t="e">
        <f t="shared" si="137"/>
        <v>#N/A</v>
      </c>
      <c r="GZ191" s="57" t="e">
        <f ca="1">AVERAGE(OFFSET($GY$3,0,0,'Données projet'!$E$18+1,1))-AVERAGE(OFFSET($H$3,0,0,'Données projet'!$E$18+1,1))</f>
        <v>#N/A</v>
      </c>
      <c r="HA191" s="57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0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4">
        <f t="shared" si="110"/>
        <v>256.66666666666669</v>
      </c>
      <c r="I192" s="6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636.99999999999977</v>
      </c>
      <c r="O192" s="13">
        <f>N192*VLOOKUP('Données projet'!$B$9,Paramètres!$A$1:$I$89,3,0)*VLOOKUP('Données projet'!$B$9,Paramètres!$A$1:$I$89,5,0)</f>
        <v>356.08299999999991</v>
      </c>
      <c r="P192" s="13">
        <f t="shared" si="141"/>
        <v>82.813805255716545</v>
      </c>
      <c r="Q192" s="20">
        <f t="shared" si="162"/>
        <v>764.41193582037283</v>
      </c>
      <c r="R192" s="57">
        <f t="shared" si="109"/>
        <v>1057.7452691537062</v>
      </c>
      <c r="S192" s="57">
        <f ca="1">AVERAGE(OFFSET($R$3,0,0,'Données projet'!$E$9+1,1))-AVERAGE(OFFSET($H$3,0,0,'Données projet'!$E$9+1,1))</f>
        <v>443.34220761968419</v>
      </c>
      <c r="T192" s="57">
        <f t="shared" si="142"/>
        <v>546.58234447298014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7.5948657495301521</v>
      </c>
      <c r="AA192" s="21">
        <f>EXP(-LN(2)/25)*AA191+(1-EXP(-LN(2)/25))/(LN(2)/25)*Calculateur!V192*Calculateur!X192*VLOOKUP('Données projet'!$B$9,Paramètres!$A$1:$I$89,3,0)*0.475*44/12</f>
        <v>0.26707453632358147</v>
      </c>
      <c r="AB192" s="21">
        <f>EXP(-LN(2)/2)*AB191+(1-EXP(-LN(2)/2))/(LN(2)/2)*V192*Y192*VLOOKUP('Données projet'!$B$9,Paramètres!$A$1:$I$89,3,0)*0.475*44/12</f>
        <v>7.0677546088040246E-24</v>
      </c>
      <c r="AC192" s="22">
        <f t="shared" si="163"/>
        <v>7.8619402858537333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911.99999999999898</v>
      </c>
      <c r="AJ192" s="13">
        <f>AI192*VLOOKUP('Données projet'!$B$10,Paramètres!$A$1:$I$89,3,0)*VLOOKUP('Données projet'!$B$10,Paramètres!$A$1:$I$89,5,0)</f>
        <v>426.81599999999946</v>
      </c>
      <c r="AK192" s="13">
        <f t="shared" si="164"/>
        <v>97.192496986872399</v>
      </c>
      <c r="AL192" s="20">
        <f t="shared" si="165"/>
        <v>912.64813225213504</v>
      </c>
      <c r="AM192" s="57">
        <f t="shared" si="113"/>
        <v>1205.9814655854684</v>
      </c>
      <c r="AN192" s="57">
        <f ca="1">AVERAGE(OFFSET($AM$3,0,0,'Données projet'!$E$10+1,1))-AVERAGE(OFFSET($H$3,0,0,'Données projet'!$E$10+1,1))</f>
        <v>524.3999528951972</v>
      </c>
      <c r="AO192" s="57">
        <f t="shared" si="144"/>
        <v>459.3547783500515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17.163276896830819</v>
      </c>
      <c r="AV192" s="21">
        <f>EXP(-LN(2)/25)*AV191+(1-EXP(-LN(2)/25))/(LN(2)/25)*Calculateur!AQ192*Calculateur!AS192*VLOOKUP('Données projet'!$B$10,Paramètres!$A$1:$I$89,3,0)*0.475*44/12</f>
        <v>0.65061115730881591</v>
      </c>
      <c r="AW192" s="21">
        <f>EXP(-LN(2)/2)*AW191+(1-EXP(-LN(2)/2))/(LN(2)/2)*AQ192*AT192*VLOOKUP('Données projet'!$B$10,Paramètres!$A$1:$I$89,3,0)*0.475*44/12</f>
        <v>1.3946950358086876E-24</v>
      </c>
      <c r="AX192" s="21">
        <f t="shared" si="166"/>
        <v>17.813888054139635</v>
      </c>
      <c r="AY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852.00000000000011</v>
      </c>
      <c r="BE192" s="13">
        <f>BD192*VLOOKUP('Données projet'!$B$11,Paramètres!$A$1:$I$89,3,0)*VLOOKUP('Données projet'!$B$11,Paramètres!$A$1:$I$89,5,0)</f>
        <v>409.81200000000013</v>
      </c>
      <c r="BF192" s="13">
        <f t="shared" si="167"/>
        <v>93.76308331402879</v>
      </c>
      <c r="BG192" s="20">
        <f t="shared" si="168"/>
        <v>877.05993677193362</v>
      </c>
      <c r="BH192" s="57">
        <f t="shared" si="116"/>
        <v>1170.393270105267</v>
      </c>
      <c r="BI192" s="57">
        <f ca="1">AVERAGE(OFFSET($BH$3,0,0,'Données projet'!$E$11+1,1))-AVERAGE(OFFSET($H$3,0,0,'Données projet'!$E$11+1,1))</f>
        <v>495.6473104257044</v>
      </c>
      <c r="BJ192" s="57">
        <f t="shared" si="146"/>
        <v>430.92527296485201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17.879927320660961</v>
      </c>
      <c r="BQ192" s="21">
        <f>EXP(-LN(2)/25)*BQ191+(1-EXP(-LN(2)/25))/(LN(2)/25)*Calculateur!BL192*Calculateur!BN192*VLOOKUP('Données projet'!$B$11,Paramètres!$A$1:$I$89,3,0)*0.475*44/12</f>
        <v>0.61296004866825837</v>
      </c>
      <c r="BR192" s="21">
        <f>EXP(-LN(2)/2)*BR191+(1-EXP(-LN(2)/2))/(LN(2)/2)*BL192*BO192*VLOOKUP('Données projet'!$B$11,Paramètres!$A$1:$I$89,3,0)*0.475*44/12</f>
        <v>8.5608017051374319E-25</v>
      </c>
      <c r="BS192" s="22">
        <f t="shared" si="169"/>
        <v>18.492887369329221</v>
      </c>
      <c r="BT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7" t="e">
        <f t="shared" si="119"/>
        <v>#NUM!</v>
      </c>
      <c r="CD192" s="57">
        <f ca="1">AVERAGE(OFFSET($CC$3,0,0,'Données projet'!$E$12+1,1))-AVERAGE(OFFSET($H$3,0,0,'Données projet'!$E$12+1,1))</f>
        <v>187.80389738728508</v>
      </c>
      <c r="CE192" s="57">
        <f t="shared" si="148"/>
        <v>439.28159165815265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5.2986517042989325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1.4436850198904573E-24</v>
      </c>
      <c r="CN192" s="22">
        <f t="shared" si="172"/>
        <v>5.2986517042989325</v>
      </c>
      <c r="CO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267</v>
      </c>
      <c r="CU192" s="17">
        <f>CT192*VLOOKUP('Données projet'!$B$13,Paramètres!$A$1:$I$89,3,0)*VLOOKUP('Données projet'!$B$13,Paramètres!$A$1:$I$89,5,0)</f>
        <v>241.58159999999998</v>
      </c>
      <c r="CV192" s="13">
        <f t="shared" si="173"/>
        <v>58.779689232021951</v>
      </c>
      <c r="CW192" s="20">
        <f t="shared" si="174"/>
        <v>523.12924541243819</v>
      </c>
      <c r="CX192" s="57">
        <f t="shared" si="122"/>
        <v>816.46257874577145</v>
      </c>
      <c r="CY192" s="57">
        <f ca="1">AVERAGE(OFFSET($CX$3,0,0,'Données projet'!$E$13+1,1))-AVERAGE(OFFSET($H$3,0,0,'Données projet'!$E$13+1,1))</f>
        <v>364.3481978218424</v>
      </c>
      <c r="CZ192" s="57">
        <f t="shared" si="150"/>
        <v>231.36959598460686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17.457439609380383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17.457439609380383</v>
      </c>
      <c r="DJ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255.00000000000006</v>
      </c>
      <c r="DP192" s="17">
        <f>DO192*VLOOKUP('Données projet'!$B$14,Paramètres!$A$1:$I$89,3,0)*VLOOKUP('Données projet'!$B$14,Paramètres!$A$1:$I$89,5,0)</f>
        <v>186.96600000000004</v>
      </c>
      <c r="DQ192" s="13">
        <f t="shared" si="176"/>
        <v>46.868551400324648</v>
      </c>
      <c r="DR192" s="20">
        <f t="shared" si="177"/>
        <v>407.26184368889881</v>
      </c>
      <c r="DS192" s="57">
        <f t="shared" si="125"/>
        <v>700.59517702223206</v>
      </c>
      <c r="DT192" s="57">
        <f ca="1">AVERAGE(OFFSET($DS$3,0,0,'Données projet'!$E$14+1,1))-AVERAGE(OFFSET($H$3,0,0,'Données projet'!$E$14+1,1))</f>
        <v>239.25212250019609</v>
      </c>
      <c r="DU192" s="57">
        <f t="shared" si="152"/>
        <v>213.58492101729695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403.99999999999994</v>
      </c>
      <c r="EK192" s="17">
        <f>EJ192*VLOOKUP('Données projet'!$B$15,Paramètres!$A$1:$I$89,3,0)*VLOOKUP('Données projet'!$B$15,Paramètres!$A$1:$I$89,5,0)</f>
        <v>346.63200000000001</v>
      </c>
      <c r="EL192" s="13">
        <f t="shared" si="179"/>
        <v>80.868615263336864</v>
      </c>
      <c r="EM192" s="20">
        <f t="shared" si="180"/>
        <v>744.56357158364483</v>
      </c>
      <c r="EN192" s="57">
        <f t="shared" si="128"/>
        <v>1037.8969049169782</v>
      </c>
      <c r="EO192" s="57">
        <f ca="1">AVERAGE(OFFSET($EN$3,0,0,'Données projet'!$E$15+1,1))-AVERAGE(OFFSET($H$3,0,0,'Données projet'!$E$15+1,1))</f>
        <v>447.10969593632467</v>
      </c>
      <c r="EP192" s="57">
        <f t="shared" si="154"/>
        <v>256.77417912163997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25.372643510510922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25.372643510510922</v>
      </c>
      <c r="EZ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7" t="e">
        <f t="shared" si="131"/>
        <v>#N/A</v>
      </c>
      <c r="FJ192" s="57" t="e">
        <f ca="1">AVERAGE(OFFSET($FI$3,0,0,'Données projet'!$E$16+1,1))-AVERAGE(OFFSET($H$3,0,0,'Données projet'!$E$16+1,1))</f>
        <v>#N/A</v>
      </c>
      <c r="FK192" s="57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7" t="e">
        <f t="shared" si="134"/>
        <v>#N/A</v>
      </c>
      <c r="GE192" s="57" t="e">
        <f ca="1">AVERAGE(OFFSET($GD$3,0,0,'Données projet'!$E$17+1,1))-AVERAGE(OFFSET($H$3,0,0,'Données projet'!$E$17+1,1))</f>
        <v>#N/A</v>
      </c>
      <c r="GF192" s="57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7" t="e">
        <f t="shared" si="137"/>
        <v>#N/A</v>
      </c>
      <c r="GZ192" s="57" t="e">
        <f ca="1">AVERAGE(OFFSET($GY$3,0,0,'Données projet'!$E$18+1,1))-AVERAGE(OFFSET($H$3,0,0,'Données projet'!$E$18+1,1))</f>
        <v>#N/A</v>
      </c>
      <c r="HA192" s="57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0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4">
        <f t="shared" si="110"/>
        <v>256.66666666666669</v>
      </c>
      <c r="I193" s="6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636.99999999999977</v>
      </c>
      <c r="O193" s="13">
        <f>N193*VLOOKUP('Données projet'!$B$9,Paramètres!$A$1:$I$89,3,0)*VLOOKUP('Données projet'!$B$9,Paramètres!$A$1:$I$89,5,0)</f>
        <v>356.08299999999991</v>
      </c>
      <c r="P193" s="13">
        <f t="shared" si="141"/>
        <v>82.813805255716545</v>
      </c>
      <c r="Q193" s="20">
        <f t="shared" si="162"/>
        <v>764.41193582037283</v>
      </c>
      <c r="R193" s="57">
        <f t="shared" si="109"/>
        <v>1057.7452691537062</v>
      </c>
      <c r="S193" s="57">
        <f ca="1">AVERAGE(OFFSET($R$3,0,0,'Données projet'!$E$9+1,1))-AVERAGE(OFFSET($H$3,0,0,'Données projet'!$E$9+1,1))</f>
        <v>443.34220761968419</v>
      </c>
      <c r="T193" s="57">
        <f t="shared" si="142"/>
        <v>546.58234447298014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7.4459350645925602</v>
      </c>
      <c r="AA193" s="21">
        <f>EXP(-LN(2)/25)*AA192+(1-EXP(-LN(2)/25))/(LN(2)/25)*Calculateur!V193*Calculateur!X193*VLOOKUP('Données projet'!$B$9,Paramètres!$A$1:$I$89,3,0)*0.475*44/12</f>
        <v>0.25977136908297366</v>
      </c>
      <c r="AB193" s="21">
        <f>EXP(-LN(2)/2)*AB192+(1-EXP(-LN(2)/2))/(LN(2)/2)*V193*Y193*VLOOKUP('Données projet'!$B$9,Paramètres!$A$1:$I$89,3,0)*0.475*44/12</f>
        <v>4.9976572116478003E-24</v>
      </c>
      <c r="AC193" s="22">
        <f t="shared" si="163"/>
        <v>7.7057064336755339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911.99999999999898</v>
      </c>
      <c r="AJ193" s="13">
        <f>AI193*VLOOKUP('Données projet'!$B$10,Paramètres!$A$1:$I$89,3,0)*VLOOKUP('Données projet'!$B$10,Paramètres!$A$1:$I$89,5,0)</f>
        <v>426.81599999999946</v>
      </c>
      <c r="AK193" s="13">
        <f t="shared" si="164"/>
        <v>97.192496986872399</v>
      </c>
      <c r="AL193" s="20">
        <f t="shared" si="165"/>
        <v>912.64813225213504</v>
      </c>
      <c r="AM193" s="57">
        <f t="shared" si="113"/>
        <v>1205.9814655854684</v>
      </c>
      <c r="AN193" s="57">
        <f ca="1">AVERAGE(OFFSET($AM$3,0,0,'Données projet'!$E$10+1,1))-AVERAGE(OFFSET($H$3,0,0,'Données projet'!$E$10+1,1))</f>
        <v>524.3999528951972</v>
      </c>
      <c r="AO193" s="57">
        <f t="shared" si="144"/>
        <v>459.3547783500515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16.82671550544919</v>
      </c>
      <c r="AV193" s="21">
        <f>EXP(-LN(2)/25)*AV192+(1-EXP(-LN(2)/25))/(LN(2)/25)*Calculateur!AQ193*Calculateur!AS193*VLOOKUP('Données projet'!$B$10,Paramètres!$A$1:$I$89,3,0)*0.475*44/12</f>
        <v>0.63282016099805261</v>
      </c>
      <c r="AW193" s="21">
        <f>EXP(-LN(2)/2)*AW192+(1-EXP(-LN(2)/2))/(LN(2)/2)*AQ193*AT193*VLOOKUP('Données projet'!$B$10,Paramètres!$A$1:$I$89,3,0)*0.475*44/12</f>
        <v>9.8619831750753773E-25</v>
      </c>
      <c r="AX193" s="21">
        <f t="shared" si="166"/>
        <v>17.459535666447241</v>
      </c>
      <c r="AY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852.00000000000011</v>
      </c>
      <c r="BE193" s="13">
        <f>BD193*VLOOKUP('Données projet'!$B$11,Paramètres!$A$1:$I$89,3,0)*VLOOKUP('Données projet'!$B$11,Paramètres!$A$1:$I$89,5,0)</f>
        <v>409.81200000000013</v>
      </c>
      <c r="BF193" s="13">
        <f t="shared" si="167"/>
        <v>93.76308331402879</v>
      </c>
      <c r="BG193" s="20">
        <f t="shared" si="168"/>
        <v>877.05993677193362</v>
      </c>
      <c r="BH193" s="57">
        <f t="shared" si="116"/>
        <v>1170.393270105267</v>
      </c>
      <c r="BI193" s="57">
        <f ca="1">AVERAGE(OFFSET($BH$3,0,0,'Données projet'!$E$11+1,1))-AVERAGE(OFFSET($H$3,0,0,'Données projet'!$E$11+1,1))</f>
        <v>495.6473104257044</v>
      </c>
      <c r="BJ193" s="57">
        <f t="shared" si="146"/>
        <v>430.92527296485201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17.529312851581619</v>
      </c>
      <c r="BQ193" s="21">
        <f>EXP(-LN(2)/25)*BQ192+(1-EXP(-LN(2)/25))/(LN(2)/25)*Calculateur!BL193*Calculateur!BN193*VLOOKUP('Données projet'!$B$11,Paramètres!$A$1:$I$89,3,0)*0.475*44/12</f>
        <v>0.59619862390325684</v>
      </c>
      <c r="BR193" s="21">
        <f>EXP(-LN(2)/2)*BR192+(1-EXP(-LN(2)/2))/(LN(2)/2)*BL193*BO193*VLOOKUP('Données projet'!$B$11,Paramètres!$A$1:$I$89,3,0)*0.475*44/12</f>
        <v>6.053400938096037E-25</v>
      </c>
      <c r="BS193" s="22">
        <f t="shared" si="169"/>
        <v>18.125511475484874</v>
      </c>
      <c r="BT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7" t="e">
        <f t="shared" si="119"/>
        <v>#NUM!</v>
      </c>
      <c r="CD193" s="57">
        <f ca="1">AVERAGE(OFFSET($CC$3,0,0,'Données projet'!$E$12+1,1))-AVERAGE(OFFSET($H$3,0,0,'Données projet'!$E$12+1,1))</f>
        <v>187.80389738728508</v>
      </c>
      <c r="CE193" s="57">
        <f t="shared" si="148"/>
        <v>439.28159165815265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5.1947483762360509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1.0208394674619781E-24</v>
      </c>
      <c r="CN193" s="22">
        <f t="shared" si="172"/>
        <v>5.1947483762360509</v>
      </c>
      <c r="CO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267</v>
      </c>
      <c r="CU193" s="17">
        <f>CT193*VLOOKUP('Données projet'!$B$13,Paramètres!$A$1:$I$89,3,0)*VLOOKUP('Données projet'!$B$13,Paramètres!$A$1:$I$89,5,0)</f>
        <v>241.58159999999998</v>
      </c>
      <c r="CV193" s="13">
        <f t="shared" si="173"/>
        <v>58.779689232021951</v>
      </c>
      <c r="CW193" s="20">
        <f t="shared" si="174"/>
        <v>523.12924541243819</v>
      </c>
      <c r="CX193" s="57">
        <f t="shared" si="122"/>
        <v>816.46257874577145</v>
      </c>
      <c r="CY193" s="57">
        <f ca="1">AVERAGE(OFFSET($CX$3,0,0,'Données projet'!$E$13+1,1))-AVERAGE(OFFSET($H$3,0,0,'Données projet'!$E$13+1,1))</f>
        <v>364.3481978218424</v>
      </c>
      <c r="CZ193" s="57">
        <f t="shared" si="150"/>
        <v>231.36959598460686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17.115109866627193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17.115109866627193</v>
      </c>
      <c r="DJ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255.00000000000006</v>
      </c>
      <c r="DP193" s="17">
        <f>DO193*VLOOKUP('Données projet'!$B$14,Paramètres!$A$1:$I$89,3,0)*VLOOKUP('Données projet'!$B$14,Paramètres!$A$1:$I$89,5,0)</f>
        <v>186.96600000000004</v>
      </c>
      <c r="DQ193" s="13">
        <f t="shared" si="176"/>
        <v>46.868551400324648</v>
      </c>
      <c r="DR193" s="20">
        <f t="shared" si="177"/>
        <v>407.26184368889881</v>
      </c>
      <c r="DS193" s="57">
        <f t="shared" si="125"/>
        <v>700.59517702223206</v>
      </c>
      <c r="DT193" s="57">
        <f ca="1">AVERAGE(OFFSET($DS$3,0,0,'Données projet'!$E$14+1,1))-AVERAGE(OFFSET($H$3,0,0,'Données projet'!$E$14+1,1))</f>
        <v>239.25212250019609</v>
      </c>
      <c r="DU193" s="57">
        <f t="shared" si="152"/>
        <v>213.58492101729695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403.99999999999994</v>
      </c>
      <c r="EK193" s="17">
        <f>EJ193*VLOOKUP('Données projet'!$B$15,Paramètres!$A$1:$I$89,3,0)*VLOOKUP('Données projet'!$B$15,Paramètres!$A$1:$I$89,5,0)</f>
        <v>346.63200000000001</v>
      </c>
      <c r="EL193" s="13">
        <f t="shared" si="179"/>
        <v>80.868615263336864</v>
      </c>
      <c r="EM193" s="20">
        <f t="shared" si="180"/>
        <v>744.56357158364483</v>
      </c>
      <c r="EN193" s="57">
        <f t="shared" si="128"/>
        <v>1037.8969049169782</v>
      </c>
      <c r="EO193" s="57">
        <f ca="1">AVERAGE(OFFSET($EN$3,0,0,'Données projet'!$E$15+1,1))-AVERAGE(OFFSET($H$3,0,0,'Données projet'!$E$15+1,1))</f>
        <v>447.10969593632467</v>
      </c>
      <c r="EP193" s="57">
        <f t="shared" si="154"/>
        <v>256.77417912163997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24.875101447054238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24.875101447054238</v>
      </c>
      <c r="EZ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7" t="e">
        <f t="shared" si="131"/>
        <v>#N/A</v>
      </c>
      <c r="FJ193" s="57" t="e">
        <f ca="1">AVERAGE(OFFSET($FI$3,0,0,'Données projet'!$E$16+1,1))-AVERAGE(OFFSET($H$3,0,0,'Données projet'!$E$16+1,1))</f>
        <v>#N/A</v>
      </c>
      <c r="FK193" s="57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7" t="e">
        <f t="shared" si="134"/>
        <v>#N/A</v>
      </c>
      <c r="GE193" s="57" t="e">
        <f ca="1">AVERAGE(OFFSET($GD$3,0,0,'Données projet'!$E$17+1,1))-AVERAGE(OFFSET($H$3,0,0,'Données projet'!$E$17+1,1))</f>
        <v>#N/A</v>
      </c>
      <c r="GF193" s="57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7" t="e">
        <f t="shared" si="137"/>
        <v>#N/A</v>
      </c>
      <c r="GZ193" s="57" t="e">
        <f ca="1">AVERAGE(OFFSET($GY$3,0,0,'Données projet'!$E$18+1,1))-AVERAGE(OFFSET($H$3,0,0,'Données projet'!$E$18+1,1))</f>
        <v>#N/A</v>
      </c>
      <c r="HA193" s="57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0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4">
        <f t="shared" si="110"/>
        <v>256.66666666666669</v>
      </c>
      <c r="I194" s="6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636.99999999999977</v>
      </c>
      <c r="O194" s="13">
        <f>N194*VLOOKUP('Données projet'!$B$9,Paramètres!$A$1:$I$89,3,0)*VLOOKUP('Données projet'!$B$9,Paramètres!$A$1:$I$89,5,0)</f>
        <v>356.08299999999991</v>
      </c>
      <c r="P194" s="13">
        <f t="shared" si="141"/>
        <v>82.813805255716545</v>
      </c>
      <c r="Q194" s="20">
        <f t="shared" si="162"/>
        <v>764.41193582037283</v>
      </c>
      <c r="R194" s="57">
        <f t="shared" si="109"/>
        <v>1057.7452691537062</v>
      </c>
      <c r="S194" s="57">
        <f ca="1">AVERAGE(OFFSET($R$3,0,0,'Données projet'!$E$9+1,1))-AVERAGE(OFFSET($H$3,0,0,'Données projet'!$E$9+1,1))</f>
        <v>443.34220761968419</v>
      </c>
      <c r="T194" s="57">
        <f t="shared" si="142"/>
        <v>546.58234447298014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7.2999248195478463</v>
      </c>
      <c r="AA194" s="21">
        <f>EXP(-LN(2)/25)*AA193+(1-EXP(-LN(2)/25))/(LN(2)/25)*Calculateur!V194*Calculateur!X194*VLOOKUP('Données projet'!$B$9,Paramètres!$A$1:$I$89,3,0)*0.475*44/12</f>
        <v>0.25266790733461714</v>
      </c>
      <c r="AB194" s="21">
        <f>EXP(-LN(2)/2)*AB193+(1-EXP(-LN(2)/2))/(LN(2)/2)*V194*Y194*VLOOKUP('Données projet'!$B$9,Paramètres!$A$1:$I$89,3,0)*0.475*44/12</f>
        <v>3.5338773044020123E-24</v>
      </c>
      <c r="AC194" s="22">
        <f t="shared" si="163"/>
        <v>7.5525927268824633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911.99999999999898</v>
      </c>
      <c r="AJ194" s="13">
        <f>AI194*VLOOKUP('Données projet'!$B$10,Paramètres!$A$1:$I$89,3,0)*VLOOKUP('Données projet'!$B$10,Paramètres!$A$1:$I$89,5,0)</f>
        <v>426.81599999999946</v>
      </c>
      <c r="AK194" s="13">
        <f t="shared" si="164"/>
        <v>97.192496986872399</v>
      </c>
      <c r="AL194" s="20">
        <f t="shared" si="165"/>
        <v>912.64813225213504</v>
      </c>
      <c r="AM194" s="57">
        <f t="shared" si="113"/>
        <v>1205.9814655854684</v>
      </c>
      <c r="AN194" s="57">
        <f ca="1">AVERAGE(OFFSET($AM$3,0,0,'Données projet'!$E$10+1,1))-AVERAGE(OFFSET($H$3,0,0,'Données projet'!$E$10+1,1))</f>
        <v>524.3999528951972</v>
      </c>
      <c r="AO194" s="57">
        <f t="shared" si="144"/>
        <v>459.3547783500515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16.496753877670375</v>
      </c>
      <c r="AV194" s="21">
        <f>EXP(-LN(2)/25)*AV193+(1-EXP(-LN(2)/25))/(LN(2)/25)*Calculateur!AQ194*Calculateur!AS194*VLOOKUP('Données projet'!$B$10,Paramètres!$A$1:$I$89,3,0)*0.475*44/12</f>
        <v>0.6155156604169949</v>
      </c>
      <c r="AW194" s="21">
        <f>EXP(-LN(2)/2)*AW193+(1-EXP(-LN(2)/2))/(LN(2)/2)*AQ194*AT194*VLOOKUP('Données projet'!$B$10,Paramètres!$A$1:$I$89,3,0)*0.475*44/12</f>
        <v>6.9734751790434381E-25</v>
      </c>
      <c r="AX194" s="21">
        <f t="shared" si="166"/>
        <v>17.112269538087372</v>
      </c>
      <c r="AY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852.00000000000011</v>
      </c>
      <c r="BE194" s="13">
        <f>BD194*VLOOKUP('Données projet'!$B$11,Paramètres!$A$1:$I$89,3,0)*VLOOKUP('Données projet'!$B$11,Paramètres!$A$1:$I$89,5,0)</f>
        <v>409.81200000000013</v>
      </c>
      <c r="BF194" s="13">
        <f t="shared" si="167"/>
        <v>93.76308331402879</v>
      </c>
      <c r="BG194" s="20">
        <f t="shared" si="168"/>
        <v>877.05993677193362</v>
      </c>
      <c r="BH194" s="57">
        <f t="shared" si="116"/>
        <v>1170.393270105267</v>
      </c>
      <c r="BI194" s="57">
        <f ca="1">AVERAGE(OFFSET($BH$3,0,0,'Données projet'!$E$11+1,1))-AVERAGE(OFFSET($H$3,0,0,'Données projet'!$E$11+1,1))</f>
        <v>495.6473104257044</v>
      </c>
      <c r="BJ194" s="57">
        <f t="shared" si="146"/>
        <v>430.92527296485201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17.185573718387211</v>
      </c>
      <c r="BQ194" s="21">
        <f>EXP(-LN(2)/25)*BQ193+(1-EXP(-LN(2)/25))/(LN(2)/25)*Calculateur!BL194*Calculateur!BN194*VLOOKUP('Données projet'!$B$11,Paramètres!$A$1:$I$89,3,0)*0.475*44/12</f>
        <v>0.57989554117989928</v>
      </c>
      <c r="BR194" s="21">
        <f>EXP(-LN(2)/2)*BR193+(1-EXP(-LN(2)/2))/(LN(2)/2)*BL194*BO194*VLOOKUP('Données projet'!$B$11,Paramètres!$A$1:$I$89,3,0)*0.475*44/12</f>
        <v>4.2804008525687159E-25</v>
      </c>
      <c r="BS194" s="22">
        <f t="shared" si="169"/>
        <v>17.765469259567109</v>
      </c>
      <c r="BT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7" t="e">
        <f t="shared" si="119"/>
        <v>#NUM!</v>
      </c>
      <c r="CD194" s="57">
        <f ca="1">AVERAGE(OFFSET($CC$3,0,0,'Données projet'!$E$12+1,1))-AVERAGE(OFFSET($H$3,0,0,'Données projet'!$E$12+1,1))</f>
        <v>187.80389738728508</v>
      </c>
      <c r="CE194" s="57">
        <f t="shared" si="148"/>
        <v>439.28159165815265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5.0928825290617095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7.2184250994522865E-25</v>
      </c>
      <c r="CN194" s="22">
        <f t="shared" si="172"/>
        <v>5.0928825290617095</v>
      </c>
      <c r="CO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267</v>
      </c>
      <c r="CU194" s="17">
        <f>CT194*VLOOKUP('Données projet'!$B$13,Paramètres!$A$1:$I$89,3,0)*VLOOKUP('Données projet'!$B$13,Paramètres!$A$1:$I$89,5,0)</f>
        <v>241.58159999999998</v>
      </c>
      <c r="CV194" s="13">
        <f t="shared" si="173"/>
        <v>58.779689232021951</v>
      </c>
      <c r="CW194" s="20">
        <f t="shared" si="174"/>
        <v>523.12924541243819</v>
      </c>
      <c r="CX194" s="57">
        <f t="shared" si="122"/>
        <v>816.46257874577145</v>
      </c>
      <c r="CY194" s="57">
        <f ca="1">AVERAGE(OFFSET($CX$3,0,0,'Données projet'!$E$13+1,1))-AVERAGE(OFFSET($H$3,0,0,'Données projet'!$E$13+1,1))</f>
        <v>364.3481978218424</v>
      </c>
      <c r="CZ194" s="57">
        <f t="shared" si="150"/>
        <v>231.36959598460686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16.77949300132887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16.77949300132887</v>
      </c>
      <c r="DJ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255.00000000000006</v>
      </c>
      <c r="DP194" s="17">
        <f>DO194*VLOOKUP('Données projet'!$B$14,Paramètres!$A$1:$I$89,3,0)*VLOOKUP('Données projet'!$B$14,Paramètres!$A$1:$I$89,5,0)</f>
        <v>186.96600000000004</v>
      </c>
      <c r="DQ194" s="13">
        <f t="shared" si="176"/>
        <v>46.868551400324648</v>
      </c>
      <c r="DR194" s="20">
        <f t="shared" si="177"/>
        <v>407.26184368889881</v>
      </c>
      <c r="DS194" s="57">
        <f t="shared" si="125"/>
        <v>700.59517702223206</v>
      </c>
      <c r="DT194" s="57">
        <f ca="1">AVERAGE(OFFSET($DS$3,0,0,'Données projet'!$E$14+1,1))-AVERAGE(OFFSET($H$3,0,0,'Données projet'!$E$14+1,1))</f>
        <v>239.25212250019609</v>
      </c>
      <c r="DU194" s="57">
        <f t="shared" si="152"/>
        <v>213.58492101729695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403.99999999999994</v>
      </c>
      <c r="EK194" s="17">
        <f>EJ194*VLOOKUP('Données projet'!$B$15,Paramètres!$A$1:$I$89,3,0)*VLOOKUP('Données projet'!$B$15,Paramètres!$A$1:$I$89,5,0)</f>
        <v>346.63200000000001</v>
      </c>
      <c r="EL194" s="13">
        <f t="shared" si="179"/>
        <v>80.868615263336864</v>
      </c>
      <c r="EM194" s="20">
        <f t="shared" si="180"/>
        <v>744.56357158364483</v>
      </c>
      <c r="EN194" s="57">
        <f t="shared" si="128"/>
        <v>1037.8969049169782</v>
      </c>
      <c r="EO194" s="57">
        <f ca="1">AVERAGE(OFFSET($EN$3,0,0,'Données projet'!$E$15+1,1))-AVERAGE(OFFSET($H$3,0,0,'Données projet'!$E$15+1,1))</f>
        <v>447.10969593632467</v>
      </c>
      <c r="EP194" s="57">
        <f t="shared" si="154"/>
        <v>256.77417912163997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24.387315879991245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24.387315879991245</v>
      </c>
      <c r="EZ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7" t="e">
        <f t="shared" si="131"/>
        <v>#N/A</v>
      </c>
      <c r="FJ194" s="57" t="e">
        <f ca="1">AVERAGE(OFFSET($FI$3,0,0,'Données projet'!$E$16+1,1))-AVERAGE(OFFSET($H$3,0,0,'Données projet'!$E$16+1,1))</f>
        <v>#N/A</v>
      </c>
      <c r="FK194" s="57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7" t="e">
        <f t="shared" si="134"/>
        <v>#N/A</v>
      </c>
      <c r="GE194" s="57" t="e">
        <f ca="1">AVERAGE(OFFSET($GD$3,0,0,'Données projet'!$E$17+1,1))-AVERAGE(OFFSET($H$3,0,0,'Données projet'!$E$17+1,1))</f>
        <v>#N/A</v>
      </c>
      <c r="GF194" s="57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7" t="e">
        <f t="shared" si="137"/>
        <v>#N/A</v>
      </c>
      <c r="GZ194" s="57" t="e">
        <f ca="1">AVERAGE(OFFSET($GY$3,0,0,'Données projet'!$E$18+1,1))-AVERAGE(OFFSET($H$3,0,0,'Données projet'!$E$18+1,1))</f>
        <v>#N/A</v>
      </c>
      <c r="HA194" s="57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0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4">
        <f t="shared" si="110"/>
        <v>256.66666666666669</v>
      </c>
      <c r="I195" s="6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636.99999999999977</v>
      </c>
      <c r="O195" s="13">
        <f>N195*VLOOKUP('Données projet'!$B$9,Paramètres!$A$1:$I$89,3,0)*VLOOKUP('Données projet'!$B$9,Paramètres!$A$1:$I$89,5,0)</f>
        <v>356.08299999999991</v>
      </c>
      <c r="P195" s="13">
        <f t="shared" si="141"/>
        <v>82.813805255716545</v>
      </c>
      <c r="Q195" s="20">
        <f t="shared" si="162"/>
        <v>764.41193582037283</v>
      </c>
      <c r="R195" s="57">
        <f t="shared" ref="R195:R203" si="191">Q195+(I195+J195)*44/12</f>
        <v>1057.7452691537062</v>
      </c>
      <c r="S195" s="57">
        <f ca="1">AVERAGE(OFFSET($R$3,0,0,'Données projet'!$E$9+1,1))-AVERAGE(OFFSET($H$3,0,0,'Données projet'!$E$9+1,1))</f>
        <v>443.34220761968419</v>
      </c>
      <c r="T195" s="57">
        <f t="shared" si="142"/>
        <v>546.58234447298014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7.1567777463510041</v>
      </c>
      <c r="AA195" s="21">
        <f>EXP(-LN(2)/25)*AA194+(1-EXP(-LN(2)/25))/(LN(2)/25)*Calculateur!V195*Calculateur!X195*VLOOKUP('Données projet'!$B$9,Paramètres!$A$1:$I$89,3,0)*0.475*44/12</f>
        <v>0.24575869012132426</v>
      </c>
      <c r="AB195" s="21">
        <f>EXP(-LN(2)/2)*AB194+(1-EXP(-LN(2)/2))/(LN(2)/2)*V195*Y195*VLOOKUP('Données projet'!$B$9,Paramètres!$A$1:$I$89,3,0)*0.475*44/12</f>
        <v>2.4988286058239002E-24</v>
      </c>
      <c r="AC195" s="22">
        <f t="shared" si="163"/>
        <v>7.4025364364723281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911.99999999999898</v>
      </c>
      <c r="AJ195" s="13">
        <f>AI195*VLOOKUP('Données projet'!$B$10,Paramètres!$A$1:$I$89,3,0)*VLOOKUP('Données projet'!$B$10,Paramètres!$A$1:$I$89,5,0)</f>
        <v>426.81599999999946</v>
      </c>
      <c r="AK195" s="13">
        <f t="shared" si="164"/>
        <v>97.192496986872399</v>
      </c>
      <c r="AL195" s="20">
        <f t="shared" si="165"/>
        <v>912.64813225213504</v>
      </c>
      <c r="AM195" s="57">
        <f t="shared" si="113"/>
        <v>1205.9814655854684</v>
      </c>
      <c r="AN195" s="57">
        <f ca="1">AVERAGE(OFFSET($AM$3,0,0,'Données projet'!$E$10+1,1))-AVERAGE(OFFSET($H$3,0,0,'Données projet'!$E$10+1,1))</f>
        <v>524.3999528951972</v>
      </c>
      <c r="AO195" s="57">
        <f t="shared" si="144"/>
        <v>459.3547783500515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16.173262596155581</v>
      </c>
      <c r="AV195" s="21">
        <f>EXP(-LN(2)/25)*AV194+(1-EXP(-LN(2)/25))/(LN(2)/25)*Calculateur!AQ195*Calculateur!AS195*VLOOKUP('Données projet'!$B$10,Paramètres!$A$1:$I$89,3,0)*0.475*44/12</f>
        <v>0.59868435231433037</v>
      </c>
      <c r="AW195" s="21">
        <f>EXP(-LN(2)/2)*AW194+(1-EXP(-LN(2)/2))/(LN(2)/2)*AQ195*AT195*VLOOKUP('Données projet'!$B$10,Paramètres!$A$1:$I$89,3,0)*0.475*44/12</f>
        <v>4.9309915875376887E-25</v>
      </c>
      <c r="AX195" s="21">
        <f t="shared" si="166"/>
        <v>16.77194694846991</v>
      </c>
      <c r="AY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852.00000000000011</v>
      </c>
      <c r="BE195" s="13">
        <f>BD195*VLOOKUP('Données projet'!$B$11,Paramètres!$A$1:$I$89,3,0)*VLOOKUP('Données projet'!$B$11,Paramètres!$A$1:$I$89,5,0)</f>
        <v>409.81200000000013</v>
      </c>
      <c r="BF195" s="13">
        <f t="shared" si="167"/>
        <v>93.76308331402879</v>
      </c>
      <c r="BG195" s="20">
        <f t="shared" si="168"/>
        <v>877.05993677193362</v>
      </c>
      <c r="BH195" s="57">
        <f t="shared" si="116"/>
        <v>1170.393270105267</v>
      </c>
      <c r="BI195" s="57">
        <f ca="1">AVERAGE(OFFSET($BH$3,0,0,'Données projet'!$E$11+1,1))-AVERAGE(OFFSET($H$3,0,0,'Données projet'!$E$11+1,1))</f>
        <v>495.6473104257044</v>
      </c>
      <c r="BJ195" s="57">
        <f t="shared" si="146"/>
        <v>430.92527296485201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16.848575099934578</v>
      </c>
      <c r="BQ195" s="21">
        <f>EXP(-LN(2)/25)*BQ194+(1-EXP(-LN(2)/25))/(LN(2)/25)*Calculateur!BL195*Calculateur!BN195*VLOOKUP('Données projet'!$B$11,Paramètres!$A$1:$I$89,3,0)*0.475*44/12</f>
        <v>0.56403826711095384</v>
      </c>
      <c r="BR195" s="21">
        <f>EXP(-LN(2)/2)*BR194+(1-EXP(-LN(2)/2))/(LN(2)/2)*BL195*BO195*VLOOKUP('Données projet'!$B$11,Paramètres!$A$1:$I$89,3,0)*0.475*44/12</f>
        <v>3.0267004690480185E-25</v>
      </c>
      <c r="BS195" s="22">
        <f t="shared" si="169"/>
        <v>17.41261336704553</v>
      </c>
      <c r="BT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7" t="e">
        <f t="shared" si="119"/>
        <v>#NUM!</v>
      </c>
      <c r="CD195" s="57">
        <f ca="1">AVERAGE(OFFSET($CC$3,0,0,'Données projet'!$E$12+1,1))-AVERAGE(OFFSET($H$3,0,0,'Données projet'!$E$12+1,1))</f>
        <v>187.80389738728508</v>
      </c>
      <c r="CE195" s="57">
        <f t="shared" si="148"/>
        <v>439.28159165815265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4.9930142090184253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5.1041973373098904E-25</v>
      </c>
      <c r="CN195" s="22">
        <f t="shared" si="172"/>
        <v>4.9930142090184253</v>
      </c>
      <c r="CO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267</v>
      </c>
      <c r="CU195" s="17">
        <f>CT195*VLOOKUP('Données projet'!$B$13,Paramètres!$A$1:$I$89,3,0)*VLOOKUP('Données projet'!$B$13,Paramètres!$A$1:$I$89,5,0)</f>
        <v>241.58159999999998</v>
      </c>
      <c r="CV195" s="13">
        <f t="shared" si="173"/>
        <v>58.779689232021951</v>
      </c>
      <c r="CW195" s="20">
        <f t="shared" si="174"/>
        <v>523.12924541243819</v>
      </c>
      <c r="CX195" s="57">
        <f t="shared" si="122"/>
        <v>816.46257874577145</v>
      </c>
      <c r="CY195" s="57">
        <f ca="1">AVERAGE(OFFSET($CX$3,0,0,'Données projet'!$E$13+1,1))-AVERAGE(OFFSET($H$3,0,0,'Données projet'!$E$13+1,1))</f>
        <v>364.3481978218424</v>
      </c>
      <c r="CZ195" s="57">
        <f t="shared" si="150"/>
        <v>231.36959598460686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16.45045737805297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16.45045737805297</v>
      </c>
      <c r="DJ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255.00000000000006</v>
      </c>
      <c r="DP195" s="17">
        <f>DO195*VLOOKUP('Données projet'!$B$14,Paramètres!$A$1:$I$89,3,0)*VLOOKUP('Données projet'!$B$14,Paramètres!$A$1:$I$89,5,0)</f>
        <v>186.96600000000004</v>
      </c>
      <c r="DQ195" s="13">
        <f t="shared" si="176"/>
        <v>46.868551400324648</v>
      </c>
      <c r="DR195" s="20">
        <f t="shared" si="177"/>
        <v>407.26184368889881</v>
      </c>
      <c r="DS195" s="57">
        <f t="shared" si="125"/>
        <v>700.59517702223206</v>
      </c>
      <c r="DT195" s="57">
        <f ca="1">AVERAGE(OFFSET($DS$3,0,0,'Données projet'!$E$14+1,1))-AVERAGE(OFFSET($H$3,0,0,'Données projet'!$E$14+1,1))</f>
        <v>239.25212250019609</v>
      </c>
      <c r="DU195" s="57">
        <f t="shared" si="152"/>
        <v>213.58492101729695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403.99999999999994</v>
      </c>
      <c r="EK195" s="17">
        <f>EJ195*VLOOKUP('Données projet'!$B$15,Paramètres!$A$1:$I$89,3,0)*VLOOKUP('Données projet'!$B$15,Paramètres!$A$1:$I$89,5,0)</f>
        <v>346.63200000000001</v>
      </c>
      <c r="EL195" s="13">
        <f t="shared" si="179"/>
        <v>80.868615263336864</v>
      </c>
      <c r="EM195" s="20">
        <f t="shared" si="180"/>
        <v>744.56357158364483</v>
      </c>
      <c r="EN195" s="57">
        <f t="shared" si="128"/>
        <v>1037.8969049169782</v>
      </c>
      <c r="EO195" s="57">
        <f ca="1">AVERAGE(OFFSET($EN$3,0,0,'Données projet'!$E$15+1,1))-AVERAGE(OFFSET($H$3,0,0,'Données projet'!$E$15+1,1))</f>
        <v>447.10969593632467</v>
      </c>
      <c r="EP195" s="57">
        <f t="shared" si="154"/>
        <v>256.77417912163997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23.90909549037854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23.90909549037854</v>
      </c>
      <c r="EZ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7" t="e">
        <f t="shared" si="131"/>
        <v>#N/A</v>
      </c>
      <c r="FJ195" s="57" t="e">
        <f ca="1">AVERAGE(OFFSET($FI$3,0,0,'Données projet'!$E$16+1,1))-AVERAGE(OFFSET($H$3,0,0,'Données projet'!$E$16+1,1))</f>
        <v>#N/A</v>
      </c>
      <c r="FK195" s="57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7" t="e">
        <f t="shared" si="134"/>
        <v>#N/A</v>
      </c>
      <c r="GE195" s="57" t="e">
        <f ca="1">AVERAGE(OFFSET($GD$3,0,0,'Données projet'!$E$17+1,1))-AVERAGE(OFFSET($H$3,0,0,'Données projet'!$E$17+1,1))</f>
        <v>#N/A</v>
      </c>
      <c r="GF195" s="57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7" t="e">
        <f t="shared" si="137"/>
        <v>#N/A</v>
      </c>
      <c r="GZ195" s="57" t="e">
        <f ca="1">AVERAGE(OFFSET($GY$3,0,0,'Données projet'!$E$18+1,1))-AVERAGE(OFFSET($H$3,0,0,'Données projet'!$E$18+1,1))</f>
        <v>#N/A</v>
      </c>
      <c r="HA195" s="57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0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4">
        <f t="shared" ref="H196:H203" si="192">(B196+E196+F196)*44/12+(C196+D196)*0.475*44/12</f>
        <v>256.66666666666669</v>
      </c>
      <c r="I196" s="6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636.99999999999977</v>
      </c>
      <c r="O196" s="13">
        <f>N196*VLOOKUP('Données projet'!$B$9,Paramètres!$A$1:$I$89,3,0)*VLOOKUP('Données projet'!$B$9,Paramètres!$A$1:$I$89,5,0)</f>
        <v>356.08299999999991</v>
      </c>
      <c r="P196" s="13">
        <f t="shared" si="141"/>
        <v>82.813805255716545</v>
      </c>
      <c r="Q196" s="20">
        <f t="shared" si="162"/>
        <v>764.41193582037283</v>
      </c>
      <c r="R196" s="57">
        <f t="shared" si="191"/>
        <v>1057.7452691537062</v>
      </c>
      <c r="S196" s="57">
        <f ca="1">AVERAGE(OFFSET($R$3,0,0,'Données projet'!$E$9+1,1))-AVERAGE(OFFSET($H$3,0,0,'Données projet'!$E$9+1,1))</f>
        <v>443.34220761968419</v>
      </c>
      <c r="T196" s="57">
        <f t="shared" si="142"/>
        <v>546.58234447298014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7.0164376999484581</v>
      </c>
      <c r="AA196" s="21">
        <f>EXP(-LN(2)/25)*AA195+(1-EXP(-LN(2)/25))/(LN(2)/25)*Calculateur!V196*Calculateur!X196*VLOOKUP('Données projet'!$B$9,Paramètres!$A$1:$I$89,3,0)*0.475*44/12</f>
        <v>0.23903840581606883</v>
      </c>
      <c r="AB196" s="21">
        <f>EXP(-LN(2)/2)*AB195+(1-EXP(-LN(2)/2))/(LN(2)/2)*V196*Y196*VLOOKUP('Données projet'!$B$9,Paramètres!$A$1:$I$89,3,0)*0.475*44/12</f>
        <v>1.7669386522010062E-24</v>
      </c>
      <c r="AC196" s="22">
        <f t="shared" si="163"/>
        <v>7.2554761057645267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911.99999999999898</v>
      </c>
      <c r="AJ196" s="13">
        <f>AI196*VLOOKUP('Données projet'!$B$10,Paramètres!$A$1:$I$89,3,0)*VLOOKUP('Données projet'!$B$10,Paramètres!$A$1:$I$89,5,0)</f>
        <v>426.81599999999946</v>
      </c>
      <c r="AK196" s="13">
        <f t="shared" si="164"/>
        <v>97.192496986872399</v>
      </c>
      <c r="AL196" s="20">
        <f t="shared" si="165"/>
        <v>912.64813225213504</v>
      </c>
      <c r="AM196" s="57">
        <f t="shared" ref="AM196:AM203" si="193">AL196+(AD196+AE196)*44/12</f>
        <v>1205.9814655854684</v>
      </c>
      <c r="AN196" s="57">
        <f ca="1">AVERAGE(OFFSET($AM$3,0,0,'Données projet'!$E$10+1,1))-AVERAGE(OFFSET($H$3,0,0,'Données projet'!$E$10+1,1))</f>
        <v>524.3999528951972</v>
      </c>
      <c r="AO196" s="57">
        <f t="shared" si="144"/>
        <v>459.3547783500515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15.856114781361095</v>
      </c>
      <c r="AV196" s="21">
        <f>EXP(-LN(2)/25)*AV195+(1-EXP(-LN(2)/25))/(LN(2)/25)*Calculateur!AQ196*Calculateur!AS196*VLOOKUP('Données projet'!$B$10,Paramètres!$A$1:$I$89,3,0)*0.475*44/12</f>
        <v>0.58231329721685321</v>
      </c>
      <c r="AW196" s="21">
        <f>EXP(-LN(2)/2)*AW195+(1-EXP(-LN(2)/2))/(LN(2)/2)*AQ196*AT196*VLOOKUP('Données projet'!$B$10,Paramètres!$A$1:$I$89,3,0)*0.475*44/12</f>
        <v>3.4867375895217191E-25</v>
      </c>
      <c r="AX196" s="21">
        <f t="shared" si="166"/>
        <v>16.43842807857795</v>
      </c>
      <c r="AY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852.00000000000011</v>
      </c>
      <c r="BE196" s="13">
        <f>BD196*VLOOKUP('Données projet'!$B$11,Paramètres!$A$1:$I$89,3,0)*VLOOKUP('Données projet'!$B$11,Paramètres!$A$1:$I$89,5,0)</f>
        <v>409.81200000000013</v>
      </c>
      <c r="BF196" s="13">
        <f t="shared" si="167"/>
        <v>93.76308331402879</v>
      </c>
      <c r="BG196" s="20">
        <f t="shared" si="168"/>
        <v>877.05993677193362</v>
      </c>
      <c r="BH196" s="57">
        <f t="shared" ref="BH196:BH203" si="194">BG196+(AY196+AZ196)*44/12</f>
        <v>1170.393270105267</v>
      </c>
      <c r="BI196" s="57">
        <f ca="1">AVERAGE(OFFSET($BH$3,0,0,'Données projet'!$E$11+1,1))-AVERAGE(OFFSET($H$3,0,0,'Données projet'!$E$11+1,1))</f>
        <v>495.6473104257044</v>
      </c>
      <c r="BJ196" s="57">
        <f t="shared" si="146"/>
        <v>430.92527296485201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16.51818481884094</v>
      </c>
      <c r="BQ196" s="21">
        <f>EXP(-LN(2)/25)*BQ195+(1-EXP(-LN(2)/25))/(LN(2)/25)*Calculateur!BL196*Calculateur!BN196*VLOOKUP('Données projet'!$B$11,Paramètres!$A$1:$I$89,3,0)*0.475*44/12</f>
        <v>0.5486146110353215</v>
      </c>
      <c r="BR196" s="21">
        <f>EXP(-LN(2)/2)*BR195+(1-EXP(-LN(2)/2))/(LN(2)/2)*BL196*BO196*VLOOKUP('Données projet'!$B$11,Paramètres!$A$1:$I$89,3,0)*0.475*44/12</f>
        <v>2.140200426284358E-25</v>
      </c>
      <c r="BS196" s="22">
        <f t="shared" si="169"/>
        <v>17.066799429876262</v>
      </c>
      <c r="BT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7" t="e">
        <f t="shared" ref="CC196:CC203" si="195">CB196+(BT196+BU196)*44/12</f>
        <v>#NUM!</v>
      </c>
      <c r="CD196" s="57">
        <f ca="1">AVERAGE(OFFSET($CC$3,0,0,'Données projet'!$E$12+1,1))-AVERAGE(OFFSET($H$3,0,0,'Données projet'!$E$12+1,1))</f>
        <v>187.80389738728508</v>
      </c>
      <c r="CE196" s="57">
        <f t="shared" si="148"/>
        <v>439.28159165815265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4.8951042458175298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3.6092125497261433E-25</v>
      </c>
      <c r="CN196" s="22">
        <f t="shared" si="172"/>
        <v>4.8951042458175298</v>
      </c>
      <c r="CO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267</v>
      </c>
      <c r="CU196" s="17">
        <f>CT196*VLOOKUP('Données projet'!$B$13,Paramètres!$A$1:$I$89,3,0)*VLOOKUP('Données projet'!$B$13,Paramètres!$A$1:$I$89,5,0)</f>
        <v>241.58159999999998</v>
      </c>
      <c r="CV196" s="13">
        <f t="shared" si="173"/>
        <v>58.779689232021951</v>
      </c>
      <c r="CW196" s="20">
        <f t="shared" si="174"/>
        <v>523.12924541243819</v>
      </c>
      <c r="CX196" s="57">
        <f t="shared" ref="CX196:CX203" si="196">CW196+(CO196+CP196)*44/12</f>
        <v>816.46257874577145</v>
      </c>
      <c r="CY196" s="57">
        <f ca="1">AVERAGE(OFFSET($CX$3,0,0,'Données projet'!$E$13+1,1))-AVERAGE(OFFSET($H$3,0,0,'Données projet'!$E$13+1,1))</f>
        <v>364.3481978218424</v>
      </c>
      <c r="CZ196" s="57">
        <f t="shared" si="150"/>
        <v>231.36959598460686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16.127873942657597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16.127873942657597</v>
      </c>
      <c r="DJ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255.00000000000006</v>
      </c>
      <c r="DP196" s="17">
        <f>DO196*VLOOKUP('Données projet'!$B$14,Paramètres!$A$1:$I$89,3,0)*VLOOKUP('Données projet'!$B$14,Paramètres!$A$1:$I$89,5,0)</f>
        <v>186.96600000000004</v>
      </c>
      <c r="DQ196" s="13">
        <f t="shared" si="176"/>
        <v>46.868551400324648</v>
      </c>
      <c r="DR196" s="20">
        <f t="shared" si="177"/>
        <v>407.26184368889881</v>
      </c>
      <c r="DS196" s="57">
        <f t="shared" ref="DS196:DS203" si="197">DR196+(DJ196+DK196)*44/12</f>
        <v>700.59517702223206</v>
      </c>
      <c r="DT196" s="57">
        <f ca="1">AVERAGE(OFFSET($DS$3,0,0,'Données projet'!$E$14+1,1))-AVERAGE(OFFSET($H$3,0,0,'Données projet'!$E$14+1,1))</f>
        <v>239.25212250019609</v>
      </c>
      <c r="DU196" s="57">
        <f t="shared" si="152"/>
        <v>213.58492101729695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403.99999999999994</v>
      </c>
      <c r="EK196" s="17">
        <f>EJ196*VLOOKUP('Données projet'!$B$15,Paramètres!$A$1:$I$89,3,0)*VLOOKUP('Données projet'!$B$15,Paramètres!$A$1:$I$89,5,0)</f>
        <v>346.63200000000001</v>
      </c>
      <c r="EL196" s="13">
        <f t="shared" si="179"/>
        <v>80.868615263336864</v>
      </c>
      <c r="EM196" s="20">
        <f t="shared" si="180"/>
        <v>744.56357158364483</v>
      </c>
      <c r="EN196" s="57">
        <f t="shared" ref="EN196:EN203" si="198">EM196+(EE196+EF196)*44/12</f>
        <v>1037.8969049169782</v>
      </c>
      <c r="EO196" s="57">
        <f ca="1">AVERAGE(OFFSET($EN$3,0,0,'Données projet'!$E$15+1,1))-AVERAGE(OFFSET($H$3,0,0,'Données projet'!$E$15+1,1))</f>
        <v>447.10969593632467</v>
      </c>
      <c r="EP196" s="57">
        <f t="shared" si="154"/>
        <v>256.77417912163997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23.440252710920504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23.440252710920504</v>
      </c>
      <c r="EZ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7" t="e">
        <f t="shared" ref="FI196:FI203" si="199">FH196+(EZ196+FA196)*44/12</f>
        <v>#N/A</v>
      </c>
      <c r="FJ196" s="57" t="e">
        <f ca="1">AVERAGE(OFFSET($FI$3,0,0,'Données projet'!$E$16+1,1))-AVERAGE(OFFSET($H$3,0,0,'Données projet'!$E$16+1,1))</f>
        <v>#N/A</v>
      </c>
      <c r="FK196" s="57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7" t="e">
        <f t="shared" ref="GD196:GD203" si="200">GC196+(FU196+FV196)*44/12</f>
        <v>#N/A</v>
      </c>
      <c r="GE196" s="57" t="e">
        <f ca="1">AVERAGE(OFFSET($GD$3,0,0,'Données projet'!$E$17+1,1))-AVERAGE(OFFSET($H$3,0,0,'Données projet'!$E$17+1,1))</f>
        <v>#N/A</v>
      </c>
      <c r="GF196" s="57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7" t="e">
        <f t="shared" ref="GY196:GY203" si="201">GX196+(GP196+GQ196)*44/12</f>
        <v>#N/A</v>
      </c>
      <c r="GZ196" s="57" t="e">
        <f ca="1">AVERAGE(OFFSET($GY$3,0,0,'Données projet'!$E$18+1,1))-AVERAGE(OFFSET($H$3,0,0,'Données projet'!$E$18+1,1))</f>
        <v>#N/A</v>
      </c>
      <c r="HA196" s="57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0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4">
        <f t="shared" si="192"/>
        <v>256.66666666666669</v>
      </c>
      <c r="I197" s="6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636.99999999999977</v>
      </c>
      <c r="O197" s="13">
        <f>N197*VLOOKUP('Données projet'!$B$9,Paramètres!$A$1:$I$89,3,0)*VLOOKUP('Données projet'!$B$9,Paramètres!$A$1:$I$89,5,0)</f>
        <v>356.08299999999991</v>
      </c>
      <c r="P197" s="13">
        <f t="shared" ref="P197:P203" si="203">EXP(-1.0587+0.8836*LN(O197)+0.284)</f>
        <v>82.813805255716545</v>
      </c>
      <c r="Q197" s="20">
        <f t="shared" si="162"/>
        <v>764.41193582037283</v>
      </c>
      <c r="R197" s="57">
        <f t="shared" si="191"/>
        <v>1057.7452691537062</v>
      </c>
      <c r="S197" s="57">
        <f ca="1">AVERAGE(OFFSET($R$3,0,0,'Données projet'!$E$9+1,1))-AVERAGE(OFFSET($H$3,0,0,'Données projet'!$E$9+1,1))</f>
        <v>443.34220761968419</v>
      </c>
      <c r="T197" s="57">
        <f t="shared" ref="T197:T203" si="204">$T$3</f>
        <v>546.58234447298014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6.8788496362568896</v>
      </c>
      <c r="AA197" s="21">
        <f>EXP(-LN(2)/25)*AA196+(1-EXP(-LN(2)/25))/(LN(2)/25)*Calculateur!V197*Calculateur!X197*VLOOKUP('Données projet'!$B$9,Paramètres!$A$1:$I$89,3,0)*0.475*44/12</f>
        <v>0.23250188803854499</v>
      </c>
      <c r="AB197" s="21">
        <f>EXP(-LN(2)/2)*AB196+(1-EXP(-LN(2)/2))/(LN(2)/2)*V197*Y197*VLOOKUP('Données projet'!$B$9,Paramètres!$A$1:$I$89,3,0)*0.475*44/12</f>
        <v>1.2494143029119501E-24</v>
      </c>
      <c r="AC197" s="22">
        <f t="shared" si="163"/>
        <v>7.1113515242954346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911.99999999999898</v>
      </c>
      <c r="AJ197" s="13">
        <f>AI197*VLOOKUP('Données projet'!$B$10,Paramètres!$A$1:$I$89,3,0)*VLOOKUP('Données projet'!$B$10,Paramètres!$A$1:$I$89,5,0)</f>
        <v>426.81599999999946</v>
      </c>
      <c r="AK197" s="13">
        <f t="shared" si="164"/>
        <v>97.192496986872399</v>
      </c>
      <c r="AL197" s="20">
        <f t="shared" si="165"/>
        <v>912.64813225213504</v>
      </c>
      <c r="AM197" s="57">
        <f t="shared" si="193"/>
        <v>1205.9814655854684</v>
      </c>
      <c r="AN197" s="57">
        <f ca="1">AVERAGE(OFFSET($AM$3,0,0,'Données projet'!$E$10+1,1))-AVERAGE(OFFSET($H$3,0,0,'Données projet'!$E$10+1,1))</f>
        <v>524.3999528951972</v>
      </c>
      <c r="AO197" s="57">
        <f t="shared" ref="AO197:AO203" si="205">$AO$3</f>
        <v>459.3547783500515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15.545186041773661</v>
      </c>
      <c r="AV197" s="21">
        <f>EXP(-LN(2)/25)*AV196+(1-EXP(-LN(2)/25))/(LN(2)/25)*Calculateur!AQ197*Calculateur!AS197*VLOOKUP('Données projet'!$B$10,Paramètres!$A$1:$I$89,3,0)*0.475*44/12</f>
        <v>0.56638990948193291</v>
      </c>
      <c r="AW197" s="21">
        <f>EXP(-LN(2)/2)*AW196+(1-EXP(-LN(2)/2))/(LN(2)/2)*AQ197*AT197*VLOOKUP('Données projet'!$B$10,Paramètres!$A$1:$I$89,3,0)*0.475*44/12</f>
        <v>2.4654957937688443E-25</v>
      </c>
      <c r="AX197" s="21">
        <f t="shared" si="166"/>
        <v>16.111575951255595</v>
      </c>
      <c r="AY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852.00000000000011</v>
      </c>
      <c r="BE197" s="13">
        <f>BD197*VLOOKUP('Données projet'!$B$11,Paramètres!$A$1:$I$89,3,0)*VLOOKUP('Données projet'!$B$11,Paramètres!$A$1:$I$89,5,0)</f>
        <v>409.81200000000013</v>
      </c>
      <c r="BF197" s="13">
        <f t="shared" si="167"/>
        <v>93.76308331402879</v>
      </c>
      <c r="BG197" s="20">
        <f t="shared" si="168"/>
        <v>877.05993677193362</v>
      </c>
      <c r="BH197" s="57">
        <f t="shared" si="194"/>
        <v>1170.393270105267</v>
      </c>
      <c r="BI197" s="57">
        <f ca="1">AVERAGE(OFFSET($BH$3,0,0,'Données projet'!$E$11+1,1))-AVERAGE(OFFSET($H$3,0,0,'Données projet'!$E$11+1,1))</f>
        <v>495.6473104257044</v>
      </c>
      <c r="BJ197" s="57">
        <f t="shared" ref="BJ197:BJ203" si="206">$BJ$3</f>
        <v>430.92527296485201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16.194273289641377</v>
      </c>
      <c r="BQ197" s="21">
        <f>EXP(-LN(2)/25)*BQ196+(1-EXP(-LN(2)/25))/(LN(2)/25)*Calculateur!BL197*Calculateur!BN197*VLOOKUP('Données projet'!$B$11,Paramètres!$A$1:$I$89,3,0)*0.475*44/12</f>
        <v>0.53361271564617208</v>
      </c>
      <c r="BR197" s="21">
        <f>EXP(-LN(2)/2)*BR196+(1-EXP(-LN(2)/2))/(LN(2)/2)*BL197*BO197*VLOOKUP('Données projet'!$B$11,Paramètres!$A$1:$I$89,3,0)*0.475*44/12</f>
        <v>1.5133502345240092E-25</v>
      </c>
      <c r="BS197" s="22">
        <f t="shared" si="169"/>
        <v>16.727886005287548</v>
      </c>
      <c r="BT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7" t="e">
        <f t="shared" si="195"/>
        <v>#NUM!</v>
      </c>
      <c r="CD197" s="57">
        <f ca="1">AVERAGE(OFFSET($CC$3,0,0,'Données projet'!$E$12+1,1))-AVERAGE(OFFSET($H$3,0,0,'Données projet'!$E$12+1,1))</f>
        <v>187.80389738728508</v>
      </c>
      <c r="CE197" s="57">
        <f t="shared" ref="CE197:CE203" si="207">$CE$3</f>
        <v>439.28159165815265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4.7991142372758224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2.5520986686549452E-25</v>
      </c>
      <c r="CN197" s="22">
        <f t="shared" si="172"/>
        <v>4.7991142372758224</v>
      </c>
      <c r="CO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267</v>
      </c>
      <c r="CU197" s="17">
        <f>CT197*VLOOKUP('Données projet'!$B$13,Paramètres!$A$1:$I$89,3,0)*VLOOKUP('Données projet'!$B$13,Paramètres!$A$1:$I$89,5,0)</f>
        <v>241.58159999999998</v>
      </c>
      <c r="CV197" s="13">
        <f t="shared" si="173"/>
        <v>58.779689232021951</v>
      </c>
      <c r="CW197" s="20">
        <f t="shared" si="174"/>
        <v>523.12924541243819</v>
      </c>
      <c r="CX197" s="57">
        <f t="shared" si="196"/>
        <v>816.46257874577145</v>
      </c>
      <c r="CY197" s="57">
        <f ca="1">AVERAGE(OFFSET($CX$3,0,0,'Données projet'!$E$13+1,1))-AVERAGE(OFFSET($H$3,0,0,'Données projet'!$E$13+1,1))</f>
        <v>364.3481978218424</v>
      </c>
      <c r="CZ197" s="57">
        <f t="shared" ref="CZ197:CZ203" si="208">$CZ$3</f>
        <v>231.36959598460686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15.81161617167386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15.81161617167386</v>
      </c>
      <c r="DJ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255.00000000000006</v>
      </c>
      <c r="DP197" s="17">
        <f>DO197*VLOOKUP('Données projet'!$B$14,Paramètres!$A$1:$I$89,3,0)*VLOOKUP('Données projet'!$B$14,Paramètres!$A$1:$I$89,5,0)</f>
        <v>186.96600000000004</v>
      </c>
      <c r="DQ197" s="13">
        <f t="shared" si="176"/>
        <v>46.868551400324648</v>
      </c>
      <c r="DR197" s="20">
        <f t="shared" si="177"/>
        <v>407.26184368889881</v>
      </c>
      <c r="DS197" s="57">
        <f t="shared" si="197"/>
        <v>700.59517702223206</v>
      </c>
      <c r="DT197" s="57">
        <f ca="1">AVERAGE(OFFSET($DS$3,0,0,'Données projet'!$E$14+1,1))-AVERAGE(OFFSET($H$3,0,0,'Données projet'!$E$14+1,1))</f>
        <v>239.25212250019609</v>
      </c>
      <c r="DU197" s="57">
        <f t="shared" ref="DU197:DU203" si="209">$DU$3</f>
        <v>213.58492101729695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403.99999999999994</v>
      </c>
      <c r="EK197" s="17">
        <f>EJ197*VLOOKUP('Données projet'!$B$15,Paramètres!$A$1:$I$89,3,0)*VLOOKUP('Données projet'!$B$15,Paramètres!$A$1:$I$89,5,0)</f>
        <v>346.63200000000001</v>
      </c>
      <c r="EL197" s="13">
        <f t="shared" si="179"/>
        <v>80.868615263336864</v>
      </c>
      <c r="EM197" s="20">
        <f t="shared" si="180"/>
        <v>744.56357158364483</v>
      </c>
      <c r="EN197" s="57">
        <f t="shared" si="198"/>
        <v>1037.8969049169782</v>
      </c>
      <c r="EO197" s="57">
        <f ca="1">AVERAGE(OFFSET($EN$3,0,0,'Données projet'!$E$15+1,1))-AVERAGE(OFFSET($H$3,0,0,'Données projet'!$E$15+1,1))</f>
        <v>447.10969593632467</v>
      </c>
      <c r="EP197" s="57">
        <f t="shared" ref="EP197:EP203" si="210">$EP$3</f>
        <v>256.77417912163997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22.980603652401779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22.980603652401779</v>
      </c>
      <c r="EZ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7" t="e">
        <f t="shared" si="199"/>
        <v>#N/A</v>
      </c>
      <c r="FJ197" s="57" t="e">
        <f ca="1">AVERAGE(OFFSET($FI$3,0,0,'Données projet'!$E$16+1,1))-AVERAGE(OFFSET($H$3,0,0,'Données projet'!$E$16+1,1))</f>
        <v>#N/A</v>
      </c>
      <c r="FK197" s="57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7" t="e">
        <f t="shared" si="200"/>
        <v>#N/A</v>
      </c>
      <c r="GE197" s="57" t="e">
        <f ca="1">AVERAGE(OFFSET($GD$3,0,0,'Données projet'!$E$17+1,1))-AVERAGE(OFFSET($H$3,0,0,'Données projet'!$E$17+1,1))</f>
        <v>#N/A</v>
      </c>
      <c r="GF197" s="57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7" t="e">
        <f t="shared" si="201"/>
        <v>#N/A</v>
      </c>
      <c r="GZ197" s="57" t="e">
        <f ca="1">AVERAGE(OFFSET($GY$3,0,0,'Données projet'!$E$18+1,1))-AVERAGE(OFFSET($H$3,0,0,'Données projet'!$E$18+1,1))</f>
        <v>#N/A</v>
      </c>
      <c r="HA197" s="57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0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4">
        <f t="shared" si="192"/>
        <v>256.66666666666669</v>
      </c>
      <c r="I198" s="6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636.99999999999977</v>
      </c>
      <c r="O198" s="13">
        <f>N198*VLOOKUP('Données projet'!$B$9,Paramètres!$A$1:$I$89,3,0)*VLOOKUP('Données projet'!$B$9,Paramètres!$A$1:$I$89,5,0)</f>
        <v>356.08299999999991</v>
      </c>
      <c r="P198" s="13">
        <f t="shared" si="203"/>
        <v>82.813805255716545</v>
      </c>
      <c r="Q198" s="20">
        <f t="shared" si="162"/>
        <v>764.41193582037283</v>
      </c>
      <c r="R198" s="57">
        <f t="shared" si="191"/>
        <v>1057.7452691537062</v>
      </c>
      <c r="S198" s="57">
        <f ca="1">AVERAGE(OFFSET($R$3,0,0,'Données projet'!$E$9+1,1))-AVERAGE(OFFSET($H$3,0,0,'Données projet'!$E$9+1,1))</f>
        <v>443.34220761968419</v>
      </c>
      <c r="T198" s="57">
        <f t="shared" si="204"/>
        <v>546.58234447298014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6.7439595905738807</v>
      </c>
      <c r="AA198" s="21">
        <f>EXP(-LN(2)/25)*AA197+(1-EXP(-LN(2)/25))/(LN(2)/25)*Calculateur!V198*Calculateur!X198*VLOOKUP('Données projet'!$B$9,Paramètres!$A$1:$I$89,3,0)*0.475*44/12</f>
        <v>0.22614411168338808</v>
      </c>
      <c r="AB198" s="21">
        <f>EXP(-LN(2)/2)*AB197+(1-EXP(-LN(2)/2))/(LN(2)/2)*V198*Y198*VLOOKUP('Données projet'!$B$9,Paramètres!$A$1:$I$89,3,0)*0.475*44/12</f>
        <v>8.8346932610050308E-25</v>
      </c>
      <c r="AC198" s="22">
        <f t="shared" si="163"/>
        <v>6.9701037022572692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911.99999999999898</v>
      </c>
      <c r="AJ198" s="13">
        <f>AI198*VLOOKUP('Données projet'!$B$10,Paramètres!$A$1:$I$89,3,0)*VLOOKUP('Données projet'!$B$10,Paramètres!$A$1:$I$89,5,0)</f>
        <v>426.81599999999946</v>
      </c>
      <c r="AK198" s="13">
        <f t="shared" si="164"/>
        <v>97.192496986872399</v>
      </c>
      <c r="AL198" s="20">
        <f t="shared" si="165"/>
        <v>912.64813225213504</v>
      </c>
      <c r="AM198" s="57">
        <f t="shared" si="193"/>
        <v>1205.9814655854684</v>
      </c>
      <c r="AN198" s="57">
        <f ca="1">AVERAGE(OFFSET($AM$3,0,0,'Données projet'!$E$10+1,1))-AVERAGE(OFFSET($H$3,0,0,'Données projet'!$E$10+1,1))</f>
        <v>524.3999528951972</v>
      </c>
      <c r="AO198" s="57">
        <f t="shared" si="205"/>
        <v>459.3547783500515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15.240354425121732</v>
      </c>
      <c r="AV198" s="21">
        <f>EXP(-LN(2)/25)*AV197+(1-EXP(-LN(2)/25))/(LN(2)/25)*Calculateur!AQ198*Calculateur!AS198*VLOOKUP('Données projet'!$B$10,Paramètres!$A$1:$I$89,3,0)*0.475*44/12</f>
        <v>0.55090194762199862</v>
      </c>
      <c r="AW198" s="21">
        <f>EXP(-LN(2)/2)*AW197+(1-EXP(-LN(2)/2))/(LN(2)/2)*AQ198*AT198*VLOOKUP('Données projet'!$B$10,Paramètres!$A$1:$I$89,3,0)*0.475*44/12</f>
        <v>1.7433687947608595E-25</v>
      </c>
      <c r="AX198" s="21">
        <f t="shared" si="166"/>
        <v>15.79125637274373</v>
      </c>
      <c r="AY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852.00000000000011</v>
      </c>
      <c r="BE198" s="13">
        <f>BD198*VLOOKUP('Données projet'!$B$11,Paramètres!$A$1:$I$89,3,0)*VLOOKUP('Données projet'!$B$11,Paramètres!$A$1:$I$89,5,0)</f>
        <v>409.81200000000013</v>
      </c>
      <c r="BF198" s="13">
        <f t="shared" si="167"/>
        <v>93.76308331402879</v>
      </c>
      <c r="BG198" s="20">
        <f t="shared" si="168"/>
        <v>877.05993677193362</v>
      </c>
      <c r="BH198" s="57">
        <f t="shared" si="194"/>
        <v>1170.393270105267</v>
      </c>
      <c r="BI198" s="57">
        <f ca="1">AVERAGE(OFFSET($BH$3,0,0,'Données projet'!$E$11+1,1))-AVERAGE(OFFSET($H$3,0,0,'Données projet'!$E$11+1,1))</f>
        <v>495.6473104257044</v>
      </c>
      <c r="BJ198" s="57">
        <f t="shared" si="206"/>
        <v>430.92527296485201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15.87671346796289</v>
      </c>
      <c r="BQ198" s="21">
        <f>EXP(-LN(2)/25)*BQ197+(1-EXP(-LN(2)/25))/(LN(2)/25)*Calculateur!BL198*Calculateur!BN198*VLOOKUP('Données projet'!$B$11,Paramètres!$A$1:$I$89,3,0)*0.475*44/12</f>
        <v>0.51902104787535441</v>
      </c>
      <c r="BR198" s="21">
        <f>EXP(-LN(2)/2)*BR197+(1-EXP(-LN(2)/2))/(LN(2)/2)*BL198*BO198*VLOOKUP('Données projet'!$B$11,Paramètres!$A$1:$I$89,3,0)*0.475*44/12</f>
        <v>1.070100213142179E-25</v>
      </c>
      <c r="BS198" s="22">
        <f t="shared" si="169"/>
        <v>16.395734515838246</v>
      </c>
      <c r="BT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7" t="e">
        <f t="shared" si="195"/>
        <v>#NUM!</v>
      </c>
      <c r="CD198" s="57">
        <f ca="1">AVERAGE(OFFSET($CC$3,0,0,'Données projet'!$E$12+1,1))-AVERAGE(OFFSET($H$3,0,0,'Données projet'!$E$12+1,1))</f>
        <v>187.80389738728508</v>
      </c>
      <c r="CE198" s="57">
        <f t="shared" si="207"/>
        <v>439.28159165815265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4.7050065342534939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1.8046062748630716E-25</v>
      </c>
      <c r="CN198" s="22">
        <f t="shared" si="172"/>
        <v>4.7050065342534939</v>
      </c>
      <c r="CO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267</v>
      </c>
      <c r="CU198" s="17">
        <f>CT198*VLOOKUP('Données projet'!$B$13,Paramètres!$A$1:$I$89,3,0)*VLOOKUP('Données projet'!$B$13,Paramètres!$A$1:$I$89,5,0)</f>
        <v>241.58159999999998</v>
      </c>
      <c r="CV198" s="13">
        <f t="shared" si="173"/>
        <v>58.779689232021951</v>
      </c>
      <c r="CW198" s="20">
        <f t="shared" si="174"/>
        <v>523.12924541243819</v>
      </c>
      <c r="CX198" s="57">
        <f t="shared" si="196"/>
        <v>816.46257874577145</v>
      </c>
      <c r="CY198" s="57">
        <f ca="1">AVERAGE(OFFSET($CX$3,0,0,'Données projet'!$E$13+1,1))-AVERAGE(OFFSET($H$3,0,0,'Données projet'!$E$13+1,1))</f>
        <v>364.3481978218424</v>
      </c>
      <c r="CZ198" s="57">
        <f t="shared" si="208"/>
        <v>231.36959598460686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15.501560022680922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15.501560022680922</v>
      </c>
      <c r="DJ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255.00000000000006</v>
      </c>
      <c r="DP198" s="17">
        <f>DO198*VLOOKUP('Données projet'!$B$14,Paramètres!$A$1:$I$89,3,0)*VLOOKUP('Données projet'!$B$14,Paramètres!$A$1:$I$89,5,0)</f>
        <v>186.96600000000004</v>
      </c>
      <c r="DQ198" s="13">
        <f t="shared" si="176"/>
        <v>46.868551400324648</v>
      </c>
      <c r="DR198" s="20">
        <f t="shared" si="177"/>
        <v>407.26184368889881</v>
      </c>
      <c r="DS198" s="57">
        <f t="shared" si="197"/>
        <v>700.59517702223206</v>
      </c>
      <c r="DT198" s="57">
        <f ca="1">AVERAGE(OFFSET($DS$3,0,0,'Données projet'!$E$14+1,1))-AVERAGE(OFFSET($H$3,0,0,'Données projet'!$E$14+1,1))</f>
        <v>239.25212250019609</v>
      </c>
      <c r="DU198" s="57">
        <f t="shared" si="209"/>
        <v>213.58492101729695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403.99999999999994</v>
      </c>
      <c r="EK198" s="17">
        <f>EJ198*VLOOKUP('Données projet'!$B$15,Paramètres!$A$1:$I$89,3,0)*VLOOKUP('Données projet'!$B$15,Paramètres!$A$1:$I$89,5,0)</f>
        <v>346.63200000000001</v>
      </c>
      <c r="EL198" s="13">
        <f t="shared" si="179"/>
        <v>80.868615263336864</v>
      </c>
      <c r="EM198" s="20">
        <f t="shared" si="180"/>
        <v>744.56357158364483</v>
      </c>
      <c r="EN198" s="57">
        <f t="shared" si="198"/>
        <v>1037.8969049169782</v>
      </c>
      <c r="EO198" s="57">
        <f ca="1">AVERAGE(OFFSET($EN$3,0,0,'Données projet'!$E$15+1,1))-AVERAGE(OFFSET($H$3,0,0,'Données projet'!$E$15+1,1))</f>
        <v>447.10969593632467</v>
      </c>
      <c r="EP198" s="57">
        <f t="shared" si="210"/>
        <v>256.77417912163997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22.529968031562365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22.529968031562365</v>
      </c>
      <c r="EZ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7" t="e">
        <f t="shared" si="199"/>
        <v>#N/A</v>
      </c>
      <c r="FJ198" s="57" t="e">
        <f ca="1">AVERAGE(OFFSET($FI$3,0,0,'Données projet'!$E$16+1,1))-AVERAGE(OFFSET($H$3,0,0,'Données projet'!$E$16+1,1))</f>
        <v>#N/A</v>
      </c>
      <c r="FK198" s="57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7" t="e">
        <f t="shared" si="200"/>
        <v>#N/A</v>
      </c>
      <c r="GE198" s="57" t="e">
        <f ca="1">AVERAGE(OFFSET($GD$3,0,0,'Données projet'!$E$17+1,1))-AVERAGE(OFFSET($H$3,0,0,'Données projet'!$E$17+1,1))</f>
        <v>#N/A</v>
      </c>
      <c r="GF198" s="57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7" t="e">
        <f t="shared" si="201"/>
        <v>#N/A</v>
      </c>
      <c r="GZ198" s="57" t="e">
        <f ca="1">AVERAGE(OFFSET($GY$3,0,0,'Données projet'!$E$18+1,1))-AVERAGE(OFFSET($H$3,0,0,'Données projet'!$E$18+1,1))</f>
        <v>#N/A</v>
      </c>
      <c r="HA198" s="57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0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4">
        <f t="shared" si="192"/>
        <v>256.66666666666669</v>
      </c>
      <c r="I199" s="6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636.99999999999977</v>
      </c>
      <c r="O199" s="13">
        <f>N199*VLOOKUP('Données projet'!$B$9,Paramètres!$A$1:$I$89,3,0)*VLOOKUP('Données projet'!$B$9,Paramètres!$A$1:$I$89,5,0)</f>
        <v>356.08299999999991</v>
      </c>
      <c r="P199" s="13">
        <f t="shared" si="203"/>
        <v>82.813805255716545</v>
      </c>
      <c r="Q199" s="20">
        <f t="shared" si="162"/>
        <v>764.41193582037283</v>
      </c>
      <c r="R199" s="57">
        <f t="shared" si="191"/>
        <v>1057.7452691537062</v>
      </c>
      <c r="S199" s="57">
        <f ca="1">AVERAGE(OFFSET($R$3,0,0,'Données projet'!$E$9+1,1))-AVERAGE(OFFSET($H$3,0,0,'Données projet'!$E$9+1,1))</f>
        <v>443.34220761968419</v>
      </c>
      <c r="T199" s="57">
        <f t="shared" si="204"/>
        <v>546.58234447298014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6.6117146564119116</v>
      </c>
      <c r="AA199" s="21">
        <f>EXP(-LN(2)/25)*AA198+(1-EXP(-LN(2)/25))/(LN(2)/25)*Calculateur!V199*Calculateur!X199*VLOOKUP('Données projet'!$B$9,Paramètres!$A$1:$I$89,3,0)*0.475*44/12</f>
        <v>0.21996018905700385</v>
      </c>
      <c r="AB199" s="21">
        <f>EXP(-LN(2)/2)*AB198+(1-EXP(-LN(2)/2))/(LN(2)/2)*V199*Y199*VLOOKUP('Données projet'!$B$9,Paramètres!$A$1:$I$89,3,0)*0.475*44/12</f>
        <v>6.2470715145597504E-25</v>
      </c>
      <c r="AC199" s="22">
        <f t="shared" si="163"/>
        <v>6.8316748454689158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911.99999999999898</v>
      </c>
      <c r="AJ199" s="13">
        <f>AI199*VLOOKUP('Données projet'!$B$10,Paramètres!$A$1:$I$89,3,0)*VLOOKUP('Données projet'!$B$10,Paramètres!$A$1:$I$89,5,0)</f>
        <v>426.81599999999946</v>
      </c>
      <c r="AK199" s="13">
        <f t="shared" si="164"/>
        <v>97.192496986872399</v>
      </c>
      <c r="AL199" s="20">
        <f t="shared" si="165"/>
        <v>912.64813225213504</v>
      </c>
      <c r="AM199" s="57">
        <f t="shared" si="193"/>
        <v>1205.9814655854684</v>
      </c>
      <c r="AN199" s="57">
        <f ca="1">AVERAGE(OFFSET($AM$3,0,0,'Données projet'!$E$10+1,1))-AVERAGE(OFFSET($H$3,0,0,'Données projet'!$E$10+1,1))</f>
        <v>524.3999528951972</v>
      </c>
      <c r="AO199" s="57">
        <f t="shared" si="205"/>
        <v>459.3547783500515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14.94150037054342</v>
      </c>
      <c r="AV199" s="21">
        <f>EXP(-LN(2)/25)*AV198+(1-EXP(-LN(2)/25))/(LN(2)/25)*Calculateur!AQ199*Calculateur!AS199*VLOOKUP('Données projet'!$B$10,Paramètres!$A$1:$I$89,3,0)*0.475*44/12</f>
        <v>0.53583750489360071</v>
      </c>
      <c r="AW199" s="21">
        <f>EXP(-LN(2)/2)*AW198+(1-EXP(-LN(2)/2))/(LN(2)/2)*AQ199*AT199*VLOOKUP('Données projet'!$B$10,Paramètres!$A$1:$I$89,3,0)*0.475*44/12</f>
        <v>1.2327478968844222E-25</v>
      </c>
      <c r="AX199" s="21">
        <f t="shared" si="166"/>
        <v>15.477337875437021</v>
      </c>
      <c r="AY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852.00000000000011</v>
      </c>
      <c r="BE199" s="13">
        <f>BD199*VLOOKUP('Données projet'!$B$11,Paramètres!$A$1:$I$89,3,0)*VLOOKUP('Données projet'!$B$11,Paramètres!$A$1:$I$89,5,0)</f>
        <v>409.81200000000013</v>
      </c>
      <c r="BF199" s="13">
        <f t="shared" si="167"/>
        <v>93.76308331402879</v>
      </c>
      <c r="BG199" s="20">
        <f t="shared" si="168"/>
        <v>877.05993677193362</v>
      </c>
      <c r="BH199" s="57">
        <f t="shared" si="194"/>
        <v>1170.393270105267</v>
      </c>
      <c r="BI199" s="57">
        <f ca="1">AVERAGE(OFFSET($BH$3,0,0,'Données projet'!$E$11+1,1))-AVERAGE(OFFSET($H$3,0,0,'Données projet'!$E$11+1,1))</f>
        <v>495.6473104257044</v>
      </c>
      <c r="BJ199" s="57">
        <f t="shared" si="206"/>
        <v>430.92527296485201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15.565380800695154</v>
      </c>
      <c r="BQ199" s="21">
        <f>EXP(-LN(2)/25)*BQ198+(1-EXP(-LN(2)/25))/(LN(2)/25)*Calculateur!BL199*Calculateur!BN199*VLOOKUP('Données projet'!$B$11,Paramètres!$A$1:$I$89,3,0)*0.475*44/12</f>
        <v>0.50482839002707214</v>
      </c>
      <c r="BR199" s="21">
        <f>EXP(-LN(2)/2)*BR198+(1-EXP(-LN(2)/2))/(LN(2)/2)*BL199*BO199*VLOOKUP('Données projet'!$B$11,Paramètres!$A$1:$I$89,3,0)*0.475*44/12</f>
        <v>7.5667511726200462E-26</v>
      </c>
      <c r="BS199" s="22">
        <f t="shared" si="169"/>
        <v>16.070209190722228</v>
      </c>
      <c r="BT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7" t="e">
        <f t="shared" si="195"/>
        <v>#NUM!</v>
      </c>
      <c r="CD199" s="57">
        <f ca="1">AVERAGE(OFFSET($CC$3,0,0,'Données projet'!$E$12+1,1))-AVERAGE(OFFSET($H$3,0,0,'Données projet'!$E$12+1,1))</f>
        <v>187.80389738728508</v>
      </c>
      <c r="CE199" s="57">
        <f t="shared" si="207"/>
        <v>439.28159165815265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4.6127442258874023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1.2760493343274726E-25</v>
      </c>
      <c r="CN199" s="22">
        <f t="shared" si="172"/>
        <v>4.6127442258874023</v>
      </c>
      <c r="CO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267</v>
      </c>
      <c r="CU199" s="17">
        <f>CT199*VLOOKUP('Données projet'!$B$13,Paramètres!$A$1:$I$89,3,0)*VLOOKUP('Données projet'!$B$13,Paramètres!$A$1:$I$89,5,0)</f>
        <v>241.58159999999998</v>
      </c>
      <c r="CV199" s="13">
        <f t="shared" si="173"/>
        <v>58.779689232021951</v>
      </c>
      <c r="CW199" s="20">
        <f t="shared" si="174"/>
        <v>523.12924541243819</v>
      </c>
      <c r="CX199" s="57">
        <f t="shared" si="196"/>
        <v>816.46257874577145</v>
      </c>
      <c r="CY199" s="57">
        <f ca="1">AVERAGE(OFFSET($CX$3,0,0,'Données projet'!$E$13+1,1))-AVERAGE(OFFSET($H$3,0,0,'Données projet'!$E$13+1,1))</f>
        <v>364.3481978218424</v>
      </c>
      <c r="CZ199" s="57">
        <f t="shared" si="208"/>
        <v>231.36959598460686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15.197583885654158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15.197583885654158</v>
      </c>
      <c r="DJ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255.00000000000006</v>
      </c>
      <c r="DP199" s="17">
        <f>DO199*VLOOKUP('Données projet'!$B$14,Paramètres!$A$1:$I$89,3,0)*VLOOKUP('Données projet'!$B$14,Paramètres!$A$1:$I$89,5,0)</f>
        <v>186.96600000000004</v>
      </c>
      <c r="DQ199" s="13">
        <f t="shared" si="176"/>
        <v>46.868551400324648</v>
      </c>
      <c r="DR199" s="20">
        <f t="shared" si="177"/>
        <v>407.26184368889881</v>
      </c>
      <c r="DS199" s="57">
        <f t="shared" si="197"/>
        <v>700.59517702223206</v>
      </c>
      <c r="DT199" s="57">
        <f ca="1">AVERAGE(OFFSET($DS$3,0,0,'Données projet'!$E$14+1,1))-AVERAGE(OFFSET($H$3,0,0,'Données projet'!$E$14+1,1))</f>
        <v>239.25212250019609</v>
      </c>
      <c r="DU199" s="57">
        <f t="shared" si="209"/>
        <v>213.58492101729695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403.99999999999994</v>
      </c>
      <c r="EK199" s="17">
        <f>EJ199*VLOOKUP('Données projet'!$B$15,Paramètres!$A$1:$I$89,3,0)*VLOOKUP('Données projet'!$B$15,Paramètres!$A$1:$I$89,5,0)</f>
        <v>346.63200000000001</v>
      </c>
      <c r="EL199" s="13">
        <f t="shared" si="179"/>
        <v>80.868615263336864</v>
      </c>
      <c r="EM199" s="20">
        <f t="shared" si="180"/>
        <v>744.56357158364483</v>
      </c>
      <c r="EN199" s="57">
        <f t="shared" si="198"/>
        <v>1037.8969049169782</v>
      </c>
      <c r="EO199" s="57">
        <f ca="1">AVERAGE(OFFSET($EN$3,0,0,'Données projet'!$E$15+1,1))-AVERAGE(OFFSET($H$3,0,0,'Données projet'!$E$15+1,1))</f>
        <v>447.10969593632467</v>
      </c>
      <c r="EP199" s="57">
        <f t="shared" si="210"/>
        <v>256.77417912163997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22.088169100387024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22.088169100387024</v>
      </c>
      <c r="EZ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7" t="e">
        <f t="shared" si="199"/>
        <v>#N/A</v>
      </c>
      <c r="FJ199" s="57" t="e">
        <f ca="1">AVERAGE(OFFSET($FI$3,0,0,'Données projet'!$E$16+1,1))-AVERAGE(OFFSET($H$3,0,0,'Données projet'!$E$16+1,1))</f>
        <v>#N/A</v>
      </c>
      <c r="FK199" s="57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7" t="e">
        <f t="shared" si="200"/>
        <v>#N/A</v>
      </c>
      <c r="GE199" s="57" t="e">
        <f ca="1">AVERAGE(OFFSET($GD$3,0,0,'Données projet'!$E$17+1,1))-AVERAGE(OFFSET($H$3,0,0,'Données projet'!$E$17+1,1))</f>
        <v>#N/A</v>
      </c>
      <c r="GF199" s="57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7" t="e">
        <f t="shared" si="201"/>
        <v>#N/A</v>
      </c>
      <c r="GZ199" s="57" t="e">
        <f ca="1">AVERAGE(OFFSET($GY$3,0,0,'Données projet'!$E$18+1,1))-AVERAGE(OFFSET($H$3,0,0,'Données projet'!$E$18+1,1))</f>
        <v>#N/A</v>
      </c>
      <c r="HA199" s="57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0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4">
        <f t="shared" si="192"/>
        <v>256.66666666666669</v>
      </c>
      <c r="I200" s="6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636.99999999999977</v>
      </c>
      <c r="O200" s="13">
        <f>N200*VLOOKUP('Données projet'!$B$9,Paramètres!$A$1:$I$89,3,0)*VLOOKUP('Données projet'!$B$9,Paramètres!$A$1:$I$89,5,0)</f>
        <v>356.08299999999991</v>
      </c>
      <c r="P200" s="13">
        <f t="shared" si="203"/>
        <v>82.813805255716545</v>
      </c>
      <c r="Q200" s="20">
        <f t="shared" si="162"/>
        <v>764.41193582037283</v>
      </c>
      <c r="R200" s="57">
        <f t="shared" si="191"/>
        <v>1057.7452691537062</v>
      </c>
      <c r="S200" s="57">
        <f ca="1">AVERAGE(OFFSET($R$3,0,0,'Données projet'!$E$9+1,1))-AVERAGE(OFFSET($H$3,0,0,'Données projet'!$E$9+1,1))</f>
        <v>443.34220761968419</v>
      </c>
      <c r="T200" s="57">
        <f t="shared" si="204"/>
        <v>546.58234447298014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6.4820629647474135</v>
      </c>
      <c r="AA200" s="21">
        <f>EXP(-LN(2)/25)*AA199+(1-EXP(-LN(2)/25))/(LN(2)/25)*Calculateur!V200*Calculateur!X200*VLOOKUP('Données projet'!$B$9,Paramètres!$A$1:$I$89,3,0)*0.475*44/12</f>
        <v>0.21394536612003645</v>
      </c>
      <c r="AB200" s="21">
        <f>EXP(-LN(2)/2)*AB199+(1-EXP(-LN(2)/2))/(LN(2)/2)*V200*Y200*VLOOKUP('Données projet'!$B$9,Paramètres!$A$1:$I$89,3,0)*0.475*44/12</f>
        <v>4.4173466305025154E-25</v>
      </c>
      <c r="AC200" s="22">
        <f t="shared" si="163"/>
        <v>6.6960083308674498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911.99999999999898</v>
      </c>
      <c r="AJ200" s="13">
        <f>AI200*VLOOKUP('Données projet'!$B$10,Paramètres!$A$1:$I$89,3,0)*VLOOKUP('Données projet'!$B$10,Paramètres!$A$1:$I$89,5,0)</f>
        <v>426.81599999999946</v>
      </c>
      <c r="AK200" s="13">
        <f t="shared" si="164"/>
        <v>97.192496986872399</v>
      </c>
      <c r="AL200" s="20">
        <f t="shared" si="165"/>
        <v>912.64813225213504</v>
      </c>
      <c r="AM200" s="57">
        <f t="shared" si="193"/>
        <v>1205.9814655854684</v>
      </c>
      <c r="AN200" s="57">
        <f ca="1">AVERAGE(OFFSET($AM$3,0,0,'Données projet'!$E$10+1,1))-AVERAGE(OFFSET($H$3,0,0,'Données projet'!$E$10+1,1))</f>
        <v>524.3999528951972</v>
      </c>
      <c r="AO200" s="57">
        <f t="shared" si="205"/>
        <v>459.3547783500515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14.648506661692414</v>
      </c>
      <c r="AV200" s="21">
        <f>EXP(-LN(2)/25)*AV199+(1-EXP(-LN(2)/25))/(LN(2)/25)*Calculateur!AQ200*Calculateur!AS200*VLOOKUP('Données projet'!$B$10,Paramètres!$A$1:$I$89,3,0)*0.475*44/12</f>
        <v>0.52118500014381552</v>
      </c>
      <c r="AW200" s="21">
        <f>EXP(-LN(2)/2)*AW199+(1-EXP(-LN(2)/2))/(LN(2)/2)*AQ200*AT200*VLOOKUP('Données projet'!$B$10,Paramètres!$A$1:$I$89,3,0)*0.475*44/12</f>
        <v>8.7168439738042976E-26</v>
      </c>
      <c r="AX200" s="21">
        <f t="shared" si="166"/>
        <v>15.169691661836229</v>
      </c>
      <c r="AY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852.00000000000011</v>
      </c>
      <c r="BE200" s="13">
        <f>BD200*VLOOKUP('Données projet'!$B$11,Paramètres!$A$1:$I$89,3,0)*VLOOKUP('Données projet'!$B$11,Paramètres!$A$1:$I$89,5,0)</f>
        <v>409.81200000000013</v>
      </c>
      <c r="BF200" s="13">
        <f t="shared" si="167"/>
        <v>93.76308331402879</v>
      </c>
      <c r="BG200" s="20">
        <f t="shared" si="168"/>
        <v>877.05993677193362</v>
      </c>
      <c r="BH200" s="57">
        <f t="shared" si="194"/>
        <v>1170.393270105267</v>
      </c>
      <c r="BI200" s="57">
        <f ca="1">AVERAGE(OFFSET($BH$3,0,0,'Données projet'!$E$11+1,1))-AVERAGE(OFFSET($H$3,0,0,'Données projet'!$E$11+1,1))</f>
        <v>495.6473104257044</v>
      </c>
      <c r="BJ200" s="57">
        <f t="shared" si="206"/>
        <v>430.92527296485201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15.260153177138362</v>
      </c>
      <c r="BQ200" s="21">
        <f>EXP(-LN(2)/25)*BQ199+(1-EXP(-LN(2)/25))/(LN(2)/25)*Calculateur!BL200*Calculateur!BN200*VLOOKUP('Données projet'!$B$11,Paramètres!$A$1:$I$89,3,0)*0.475*44/12</f>
        <v>0.4910238311540106</v>
      </c>
      <c r="BR200" s="21">
        <f>EXP(-LN(2)/2)*BR199+(1-EXP(-LN(2)/2))/(LN(2)/2)*BL200*BO200*VLOOKUP('Données projet'!$B$11,Paramètres!$A$1:$I$89,3,0)*0.475*44/12</f>
        <v>5.3505010657108949E-26</v>
      </c>
      <c r="BS200" s="22">
        <f t="shared" si="169"/>
        <v>15.751177008292371</v>
      </c>
      <c r="BT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7" t="e">
        <f t="shared" si="195"/>
        <v>#NUM!</v>
      </c>
      <c r="CD200" s="57">
        <f ca="1">AVERAGE(OFFSET($CC$3,0,0,'Données projet'!$E$12+1,1))-AVERAGE(OFFSET($H$3,0,0,'Données projet'!$E$12+1,1))</f>
        <v>187.80389738728508</v>
      </c>
      <c r="CE200" s="57">
        <f t="shared" si="207"/>
        <v>439.28159165815265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4.5222911251139184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9.0230313743153582E-26</v>
      </c>
      <c r="CN200" s="22">
        <f t="shared" si="172"/>
        <v>4.5222911251139184</v>
      </c>
      <c r="CO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267</v>
      </c>
      <c r="CU200" s="17">
        <f>CT200*VLOOKUP('Données projet'!$B$13,Paramètres!$A$1:$I$89,3,0)*VLOOKUP('Données projet'!$B$13,Paramètres!$A$1:$I$89,5,0)</f>
        <v>241.58159999999998</v>
      </c>
      <c r="CV200" s="13">
        <f t="shared" si="173"/>
        <v>58.779689232021951</v>
      </c>
      <c r="CW200" s="20">
        <f t="shared" si="174"/>
        <v>523.12924541243819</v>
      </c>
      <c r="CX200" s="57">
        <f t="shared" si="196"/>
        <v>816.46257874577145</v>
      </c>
      <c r="CY200" s="57">
        <f ca="1">AVERAGE(OFFSET($CX$3,0,0,'Données projet'!$E$13+1,1))-AVERAGE(OFFSET($H$3,0,0,'Données projet'!$E$13+1,1))</f>
        <v>364.3481978218424</v>
      </c>
      <c r="CZ200" s="57">
        <f t="shared" si="208"/>
        <v>231.36959598460686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14.899568535267353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14.899568535267353</v>
      </c>
      <c r="DJ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255.00000000000006</v>
      </c>
      <c r="DP200" s="17">
        <f>DO200*VLOOKUP('Données projet'!$B$14,Paramètres!$A$1:$I$89,3,0)*VLOOKUP('Données projet'!$B$14,Paramètres!$A$1:$I$89,5,0)</f>
        <v>186.96600000000004</v>
      </c>
      <c r="DQ200" s="13">
        <f t="shared" si="176"/>
        <v>46.868551400324648</v>
      </c>
      <c r="DR200" s="20">
        <f t="shared" si="177"/>
        <v>407.26184368889881</v>
      </c>
      <c r="DS200" s="57">
        <f t="shared" si="197"/>
        <v>700.59517702223206</v>
      </c>
      <c r="DT200" s="57">
        <f ca="1">AVERAGE(OFFSET($DS$3,0,0,'Données projet'!$E$14+1,1))-AVERAGE(OFFSET($H$3,0,0,'Données projet'!$E$14+1,1))</f>
        <v>239.25212250019609</v>
      </c>
      <c r="DU200" s="57">
        <f t="shared" si="209"/>
        <v>213.58492101729695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403.99999999999994</v>
      </c>
      <c r="EK200" s="17">
        <f>EJ200*VLOOKUP('Données projet'!$B$15,Paramètres!$A$1:$I$89,3,0)*VLOOKUP('Données projet'!$B$15,Paramètres!$A$1:$I$89,5,0)</f>
        <v>346.63200000000001</v>
      </c>
      <c r="EL200" s="13">
        <f t="shared" si="179"/>
        <v>80.868615263336864</v>
      </c>
      <c r="EM200" s="20">
        <f t="shared" si="180"/>
        <v>744.56357158364483</v>
      </c>
      <c r="EN200" s="57">
        <f t="shared" si="198"/>
        <v>1037.8969049169782</v>
      </c>
      <c r="EO200" s="57">
        <f ca="1">AVERAGE(OFFSET($EN$3,0,0,'Données projet'!$E$15+1,1))-AVERAGE(OFFSET($H$3,0,0,'Données projet'!$E$15+1,1))</f>
        <v>447.10969593632467</v>
      </c>
      <c r="EP200" s="57">
        <f t="shared" si="210"/>
        <v>256.77417912163997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21.655033576781292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21.655033576781292</v>
      </c>
      <c r="EZ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7" t="e">
        <f t="shared" si="199"/>
        <v>#N/A</v>
      </c>
      <c r="FJ200" s="57" t="e">
        <f ca="1">AVERAGE(OFFSET($FI$3,0,0,'Données projet'!$E$16+1,1))-AVERAGE(OFFSET($H$3,0,0,'Données projet'!$E$16+1,1))</f>
        <v>#N/A</v>
      </c>
      <c r="FK200" s="57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7" t="e">
        <f t="shared" si="200"/>
        <v>#N/A</v>
      </c>
      <c r="GE200" s="57" t="e">
        <f ca="1">AVERAGE(OFFSET($GD$3,0,0,'Données projet'!$E$17+1,1))-AVERAGE(OFFSET($H$3,0,0,'Données projet'!$E$17+1,1))</f>
        <v>#N/A</v>
      </c>
      <c r="GF200" s="57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7" t="e">
        <f t="shared" si="201"/>
        <v>#N/A</v>
      </c>
      <c r="GZ200" s="57" t="e">
        <f ca="1">AVERAGE(OFFSET($GY$3,0,0,'Données projet'!$E$18+1,1))-AVERAGE(OFFSET($H$3,0,0,'Données projet'!$E$18+1,1))</f>
        <v>#N/A</v>
      </c>
      <c r="HA200" s="57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0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4">
        <f t="shared" si="192"/>
        <v>256.66666666666669</v>
      </c>
      <c r="I201" s="6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636.99999999999977</v>
      </c>
      <c r="O201" s="13">
        <f>N201*VLOOKUP('Données projet'!$B$9,Paramètres!$A$1:$I$89,3,0)*VLOOKUP('Données projet'!$B$9,Paramètres!$A$1:$I$89,5,0)</f>
        <v>356.08299999999991</v>
      </c>
      <c r="P201" s="13">
        <f t="shared" si="203"/>
        <v>82.813805255716545</v>
      </c>
      <c r="Q201" s="20">
        <f t="shared" si="162"/>
        <v>764.41193582037283</v>
      </c>
      <c r="R201" s="57">
        <f t="shared" si="191"/>
        <v>1057.7452691537062</v>
      </c>
      <c r="S201" s="57">
        <f ca="1">AVERAGE(OFFSET($R$3,0,0,'Données projet'!$E$9+1,1))-AVERAGE(OFFSET($H$3,0,0,'Données projet'!$E$9+1,1))</f>
        <v>443.34220761968419</v>
      </c>
      <c r="T201" s="57">
        <f t="shared" si="204"/>
        <v>546.58234447298014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6.3549536636767332</v>
      </c>
      <c r="AA201" s="21">
        <f>EXP(-LN(2)/25)*AA200+(1-EXP(-LN(2)/25))/(LN(2)/25)*Calculateur!V201*Calculateur!X201*VLOOKUP('Données projet'!$B$9,Paramètres!$A$1:$I$89,3,0)*0.475*44/12</f>
        <v>0.20809501883258621</v>
      </c>
      <c r="AB201" s="21">
        <f>EXP(-LN(2)/2)*AB200+(1-EXP(-LN(2)/2))/(LN(2)/2)*V201*Y201*VLOOKUP('Données projet'!$B$9,Paramètres!$A$1:$I$89,3,0)*0.475*44/12</f>
        <v>3.1235357572798752E-25</v>
      </c>
      <c r="AC201" s="22">
        <f t="shared" si="163"/>
        <v>6.5630486825093195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911.99999999999898</v>
      </c>
      <c r="AJ201" s="13">
        <f>AI201*VLOOKUP('Données projet'!$B$10,Paramètres!$A$1:$I$89,3,0)*VLOOKUP('Données projet'!$B$10,Paramètres!$A$1:$I$89,5,0)</f>
        <v>426.81599999999946</v>
      </c>
      <c r="AK201" s="13">
        <f t="shared" si="164"/>
        <v>97.192496986872399</v>
      </c>
      <c r="AL201" s="20">
        <f t="shared" si="165"/>
        <v>912.64813225213504</v>
      </c>
      <c r="AM201" s="57">
        <f t="shared" si="193"/>
        <v>1205.9814655854684</v>
      </c>
      <c r="AN201" s="57">
        <f ca="1">AVERAGE(OFFSET($AM$3,0,0,'Données projet'!$E$10+1,1))-AVERAGE(OFFSET($H$3,0,0,'Données projet'!$E$10+1,1))</f>
        <v>524.3999528951972</v>
      </c>
      <c r="AO201" s="57">
        <f t="shared" si="205"/>
        <v>459.3547783500515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14.361258380763461</v>
      </c>
      <c r="AV201" s="21">
        <f>EXP(-LN(2)/25)*AV200+(1-EXP(-LN(2)/25))/(LN(2)/25)*Calculateur!AQ201*Calculateur!AS201*VLOOKUP('Données projet'!$B$10,Paramètres!$A$1:$I$89,3,0)*0.475*44/12</f>
        <v>0.50693316890695495</v>
      </c>
      <c r="AW201" s="21">
        <f>EXP(-LN(2)/2)*AW200+(1-EXP(-LN(2)/2))/(LN(2)/2)*AQ201*AT201*VLOOKUP('Données projet'!$B$10,Paramètres!$A$1:$I$89,3,0)*0.475*44/12</f>
        <v>6.1637394844221108E-26</v>
      </c>
      <c r="AX201" s="21">
        <f t="shared" si="166"/>
        <v>14.868191549670415</v>
      </c>
      <c r="AY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852.00000000000011</v>
      </c>
      <c r="BE201" s="13">
        <f>BD201*VLOOKUP('Données projet'!$B$11,Paramètres!$A$1:$I$89,3,0)*VLOOKUP('Données projet'!$B$11,Paramètres!$A$1:$I$89,5,0)</f>
        <v>409.81200000000013</v>
      </c>
      <c r="BF201" s="13">
        <f t="shared" si="167"/>
        <v>93.76308331402879</v>
      </c>
      <c r="BG201" s="20">
        <f t="shared" si="168"/>
        <v>877.05993677193362</v>
      </c>
      <c r="BH201" s="57">
        <f t="shared" si="194"/>
        <v>1170.393270105267</v>
      </c>
      <c r="BI201" s="57">
        <f ca="1">AVERAGE(OFFSET($BH$3,0,0,'Données projet'!$E$11+1,1))-AVERAGE(OFFSET($H$3,0,0,'Données projet'!$E$11+1,1))</f>
        <v>495.6473104257044</v>
      </c>
      <c r="BJ201" s="57">
        <f t="shared" si="206"/>
        <v>430.92527296485201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14.960910881109051</v>
      </c>
      <c r="BQ201" s="21">
        <f>EXP(-LN(2)/25)*BQ200+(1-EXP(-LN(2)/25))/(LN(2)/25)*Calculateur!BL201*Calculateur!BN201*VLOOKUP('Données projet'!$B$11,Paramètres!$A$1:$I$89,3,0)*0.475*44/12</f>
        <v>0.47759675866928314</v>
      </c>
      <c r="BR201" s="21">
        <f>EXP(-LN(2)/2)*BR200+(1-EXP(-LN(2)/2))/(LN(2)/2)*BL201*BO201*VLOOKUP('Données projet'!$B$11,Paramètres!$A$1:$I$89,3,0)*0.475*44/12</f>
        <v>3.7833755863100231E-26</v>
      </c>
      <c r="BS201" s="22">
        <f t="shared" si="169"/>
        <v>15.438507639778335</v>
      </c>
      <c r="BT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7" t="e">
        <f t="shared" si="195"/>
        <v>#NUM!</v>
      </c>
      <c r="CD201" s="57">
        <f ca="1">AVERAGE(OFFSET($CC$3,0,0,'Données projet'!$E$12+1,1))-AVERAGE(OFFSET($H$3,0,0,'Données projet'!$E$12+1,1))</f>
        <v>187.80389738728508</v>
      </c>
      <c r="CE201" s="57">
        <f t="shared" si="207"/>
        <v>439.28159165815265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4.4336117544756588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6.3802466716373631E-26</v>
      </c>
      <c r="CN201" s="22">
        <f t="shared" si="172"/>
        <v>4.4336117544756588</v>
      </c>
      <c r="CO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267</v>
      </c>
      <c r="CU201" s="17">
        <f>CT201*VLOOKUP('Données projet'!$B$13,Paramètres!$A$1:$I$89,3,0)*VLOOKUP('Données projet'!$B$13,Paramètres!$A$1:$I$89,5,0)</f>
        <v>241.58159999999998</v>
      </c>
      <c r="CV201" s="13">
        <f t="shared" si="173"/>
        <v>58.779689232021951</v>
      </c>
      <c r="CW201" s="20">
        <f t="shared" si="174"/>
        <v>523.12924541243819</v>
      </c>
      <c r="CX201" s="57">
        <f t="shared" si="196"/>
        <v>816.46257874577145</v>
      </c>
      <c r="CY201" s="57">
        <f ca="1">AVERAGE(OFFSET($CX$3,0,0,'Données projet'!$E$13+1,1))-AVERAGE(OFFSET($H$3,0,0,'Données projet'!$E$13+1,1))</f>
        <v>364.3481978218424</v>
      </c>
      <c r="CZ201" s="57">
        <f t="shared" si="208"/>
        <v>231.36959598460686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14.607397084130216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14.607397084130216</v>
      </c>
      <c r="DJ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255.00000000000006</v>
      </c>
      <c r="DP201" s="17">
        <f>DO201*VLOOKUP('Données projet'!$B$14,Paramètres!$A$1:$I$89,3,0)*VLOOKUP('Données projet'!$B$14,Paramètres!$A$1:$I$89,5,0)</f>
        <v>186.96600000000004</v>
      </c>
      <c r="DQ201" s="13">
        <f t="shared" si="176"/>
        <v>46.868551400324648</v>
      </c>
      <c r="DR201" s="20">
        <f t="shared" si="177"/>
        <v>407.26184368889881</v>
      </c>
      <c r="DS201" s="57">
        <f t="shared" si="197"/>
        <v>700.59517702223206</v>
      </c>
      <c r="DT201" s="57">
        <f ca="1">AVERAGE(OFFSET($DS$3,0,0,'Données projet'!$E$14+1,1))-AVERAGE(OFFSET($H$3,0,0,'Données projet'!$E$14+1,1))</f>
        <v>239.25212250019609</v>
      </c>
      <c r="DU201" s="57">
        <f t="shared" si="209"/>
        <v>213.58492101729695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403.99999999999994</v>
      </c>
      <c r="EK201" s="17">
        <f>EJ201*VLOOKUP('Données projet'!$B$15,Paramètres!$A$1:$I$89,3,0)*VLOOKUP('Données projet'!$B$15,Paramètres!$A$1:$I$89,5,0)</f>
        <v>346.63200000000001</v>
      </c>
      <c r="EL201" s="13">
        <f t="shared" si="179"/>
        <v>80.868615263336864</v>
      </c>
      <c r="EM201" s="20">
        <f t="shared" si="180"/>
        <v>744.56357158364483</v>
      </c>
      <c r="EN201" s="57">
        <f t="shared" si="198"/>
        <v>1037.8969049169782</v>
      </c>
      <c r="EO201" s="57">
        <f ca="1">AVERAGE(OFFSET($EN$3,0,0,'Données projet'!$E$15+1,1))-AVERAGE(OFFSET($H$3,0,0,'Données projet'!$E$15+1,1))</f>
        <v>447.10969593632467</v>
      </c>
      <c r="EP201" s="57">
        <f t="shared" si="210"/>
        <v>256.77417912163997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21.230391576606884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21.230391576606884</v>
      </c>
      <c r="EZ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7" t="e">
        <f t="shared" si="199"/>
        <v>#N/A</v>
      </c>
      <c r="FJ201" s="57" t="e">
        <f ca="1">AVERAGE(OFFSET($FI$3,0,0,'Données projet'!$E$16+1,1))-AVERAGE(OFFSET($H$3,0,0,'Données projet'!$E$16+1,1))</f>
        <v>#N/A</v>
      </c>
      <c r="FK201" s="57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7" t="e">
        <f t="shared" si="200"/>
        <v>#N/A</v>
      </c>
      <c r="GE201" s="57" t="e">
        <f ca="1">AVERAGE(OFFSET($GD$3,0,0,'Données projet'!$E$17+1,1))-AVERAGE(OFFSET($H$3,0,0,'Données projet'!$E$17+1,1))</f>
        <v>#N/A</v>
      </c>
      <c r="GF201" s="57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7" t="e">
        <f t="shared" si="201"/>
        <v>#N/A</v>
      </c>
      <c r="GZ201" s="57" t="e">
        <f ca="1">AVERAGE(OFFSET($GY$3,0,0,'Données projet'!$E$18+1,1))-AVERAGE(OFFSET($H$3,0,0,'Données projet'!$E$18+1,1))</f>
        <v>#N/A</v>
      </c>
      <c r="HA201" s="57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0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4">
        <f t="shared" si="192"/>
        <v>256.66666666666669</v>
      </c>
      <c r="I202" s="6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636.99999999999977</v>
      </c>
      <c r="O202" s="13">
        <f>N202*VLOOKUP('Données projet'!$B$9,Paramètres!$A$1:$I$89,3,0)*VLOOKUP('Données projet'!$B$9,Paramètres!$A$1:$I$89,5,0)</f>
        <v>356.08299999999991</v>
      </c>
      <c r="P202" s="13">
        <f t="shared" si="203"/>
        <v>82.813805255716545</v>
      </c>
      <c r="Q202" s="20">
        <f t="shared" si="162"/>
        <v>764.41193582037283</v>
      </c>
      <c r="R202" s="57">
        <f t="shared" si="191"/>
        <v>1057.7452691537062</v>
      </c>
      <c r="S202" s="57">
        <f ca="1">AVERAGE(OFFSET($R$3,0,0,'Données projet'!$E$9+1,1))-AVERAGE(OFFSET($H$3,0,0,'Données projet'!$E$9+1,1))</f>
        <v>443.34220761968419</v>
      </c>
      <c r="T202" s="57">
        <f t="shared" si="204"/>
        <v>546.58234447298014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6.2303368984710303</v>
      </c>
      <c r="AA202" s="21">
        <f>EXP(-LN(2)/25)*AA201+(1-EXP(-LN(2)/25))/(LN(2)/25)*Calculateur!V202*Calculateur!X202*VLOOKUP('Données projet'!$B$9,Paramètres!$A$1:$I$89,3,0)*0.475*44/12</f>
        <v>0.20240464959936771</v>
      </c>
      <c r="AB202" s="21">
        <f>EXP(-LN(2)/2)*AB201+(1-EXP(-LN(2)/2))/(LN(2)/2)*V202*Y202*VLOOKUP('Données projet'!$B$9,Paramètres!$A$1:$I$89,3,0)*0.475*44/12</f>
        <v>2.2086733152512577E-25</v>
      </c>
      <c r="AC202" s="22">
        <f t="shared" si="163"/>
        <v>6.432741548070398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911.99999999999898</v>
      </c>
      <c r="AJ202" s="13">
        <f>AI202*VLOOKUP('Données projet'!$B$10,Paramètres!$A$1:$I$89,3,0)*VLOOKUP('Données projet'!$B$10,Paramètres!$A$1:$I$89,5,0)</f>
        <v>426.81599999999946</v>
      </c>
      <c r="AK202" s="13">
        <f t="shared" si="164"/>
        <v>97.192496986872399</v>
      </c>
      <c r="AL202" s="20">
        <f t="shared" si="165"/>
        <v>912.64813225213504</v>
      </c>
      <c r="AM202" s="57">
        <f t="shared" si="193"/>
        <v>1205.9814655854684</v>
      </c>
      <c r="AN202" s="57">
        <f ca="1">AVERAGE(OFFSET($AM$3,0,0,'Données projet'!$E$10+1,1))-AVERAGE(OFFSET($H$3,0,0,'Données projet'!$E$10+1,1))</f>
        <v>524.3999528951972</v>
      </c>
      <c r="AO202" s="57">
        <f t="shared" si="205"/>
        <v>459.3547783500515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14.079642863419373</v>
      </c>
      <c r="AV202" s="21">
        <f>EXP(-LN(2)/25)*AV201+(1-EXP(-LN(2)/25))/(LN(2)/25)*Calculateur!AQ202*Calculateur!AS202*VLOOKUP('Données projet'!$B$10,Paramètres!$A$1:$I$89,3,0)*0.475*44/12</f>
        <v>0.4930710547447375</v>
      </c>
      <c r="AW202" s="21">
        <f>EXP(-LN(2)/2)*AW201+(1-EXP(-LN(2)/2))/(LN(2)/2)*AQ202*AT202*VLOOKUP('Données projet'!$B$10,Paramètres!$A$1:$I$89,3,0)*0.475*44/12</f>
        <v>4.3584219869021488E-26</v>
      </c>
      <c r="AX202" s="21">
        <f t="shared" si="166"/>
        <v>14.57271391816411</v>
      </c>
      <c r="AY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852.00000000000011</v>
      </c>
      <c r="BE202" s="13">
        <f>BD202*VLOOKUP('Données projet'!$B$11,Paramètres!$A$1:$I$89,3,0)*VLOOKUP('Données projet'!$B$11,Paramètres!$A$1:$I$89,5,0)</f>
        <v>409.81200000000013</v>
      </c>
      <c r="BF202" s="13">
        <f t="shared" si="167"/>
        <v>93.76308331402879</v>
      </c>
      <c r="BG202" s="20">
        <f t="shared" si="168"/>
        <v>877.05993677193362</v>
      </c>
      <c r="BH202" s="57">
        <f t="shared" si="194"/>
        <v>1170.393270105267</v>
      </c>
      <c r="BI202" s="57">
        <f ca="1">AVERAGE(OFFSET($BH$3,0,0,'Données projet'!$E$11+1,1))-AVERAGE(OFFSET($H$3,0,0,'Données projet'!$E$11+1,1))</f>
        <v>495.6473104257044</v>
      </c>
      <c r="BJ202" s="57">
        <f t="shared" si="206"/>
        <v>430.92527296485201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14.667536543985095</v>
      </c>
      <c r="BQ202" s="21">
        <f>EXP(-LN(2)/25)*BQ201+(1-EXP(-LN(2)/25))/(LN(2)/25)*Calculateur!BL202*Calculateur!BN202*VLOOKUP('Données projet'!$B$11,Paramètres!$A$1:$I$89,3,0)*0.475*44/12</f>
        <v>0.46453685018774959</v>
      </c>
      <c r="BR202" s="21">
        <f>EXP(-LN(2)/2)*BR201+(1-EXP(-LN(2)/2))/(LN(2)/2)*BL202*BO202*VLOOKUP('Données projet'!$B$11,Paramètres!$A$1:$I$89,3,0)*0.475*44/12</f>
        <v>2.6752505328554475E-26</v>
      </c>
      <c r="BS202" s="22">
        <f t="shared" si="169"/>
        <v>15.132073394172846</v>
      </c>
      <c r="BT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7" t="e">
        <f t="shared" si="195"/>
        <v>#NUM!</v>
      </c>
      <c r="CD202" s="57">
        <f ca="1">AVERAGE(OFFSET($CC$3,0,0,'Données projet'!$E$12+1,1))-AVERAGE(OFFSET($H$3,0,0,'Données projet'!$E$12+1,1))</f>
        <v>187.80389738728508</v>
      </c>
      <c r="CE202" s="57">
        <f t="shared" si="207"/>
        <v>439.28159165815265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4.3466713322065402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4.5115156871576791E-26</v>
      </c>
      <c r="CN202" s="22">
        <f t="shared" si="172"/>
        <v>4.3466713322065402</v>
      </c>
      <c r="CO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267</v>
      </c>
      <c r="CU202" s="17">
        <f>CT202*VLOOKUP('Données projet'!$B$13,Paramètres!$A$1:$I$89,3,0)*VLOOKUP('Données projet'!$B$13,Paramètres!$A$1:$I$89,5,0)</f>
        <v>241.58159999999998</v>
      </c>
      <c r="CV202" s="13">
        <f t="shared" si="173"/>
        <v>58.779689232021951</v>
      </c>
      <c r="CW202" s="20">
        <f t="shared" si="174"/>
        <v>523.12924541243819</v>
      </c>
      <c r="CX202" s="57">
        <f t="shared" si="196"/>
        <v>816.46257874577145</v>
      </c>
      <c r="CY202" s="57">
        <f ca="1">AVERAGE(OFFSET($CX$3,0,0,'Données projet'!$E$13+1,1))-AVERAGE(OFFSET($H$3,0,0,'Données projet'!$E$13+1,1))</f>
        <v>364.3481978218424</v>
      </c>
      <c r="CZ202" s="57">
        <f t="shared" si="208"/>
        <v>231.36959598460686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14.320954936942892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14.320954936942892</v>
      </c>
      <c r="DJ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255.00000000000006</v>
      </c>
      <c r="DP202" s="17">
        <f>DO202*VLOOKUP('Données projet'!$B$14,Paramètres!$A$1:$I$89,3,0)*VLOOKUP('Données projet'!$B$14,Paramètres!$A$1:$I$89,5,0)</f>
        <v>186.96600000000004</v>
      </c>
      <c r="DQ202" s="13">
        <f t="shared" si="176"/>
        <v>46.868551400324648</v>
      </c>
      <c r="DR202" s="20">
        <f t="shared" si="177"/>
        <v>407.26184368889881</v>
      </c>
      <c r="DS202" s="57">
        <f t="shared" si="197"/>
        <v>700.59517702223206</v>
      </c>
      <c r="DT202" s="57">
        <f ca="1">AVERAGE(OFFSET($DS$3,0,0,'Données projet'!$E$14+1,1))-AVERAGE(OFFSET($H$3,0,0,'Données projet'!$E$14+1,1))</f>
        <v>239.25212250019609</v>
      </c>
      <c r="DU202" s="57">
        <f t="shared" si="209"/>
        <v>213.58492101729695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403.99999999999994</v>
      </c>
      <c r="EK202" s="17">
        <f>EJ202*VLOOKUP('Données projet'!$B$15,Paramètres!$A$1:$I$89,3,0)*VLOOKUP('Données projet'!$B$15,Paramètres!$A$1:$I$89,5,0)</f>
        <v>346.63200000000001</v>
      </c>
      <c r="EL202" s="13">
        <f t="shared" si="179"/>
        <v>80.868615263336864</v>
      </c>
      <c r="EM202" s="20">
        <f t="shared" si="180"/>
        <v>744.56357158364483</v>
      </c>
      <c r="EN202" s="57">
        <f t="shared" si="198"/>
        <v>1037.8969049169782</v>
      </c>
      <c r="EO202" s="57">
        <f ca="1">AVERAGE(OFFSET($EN$3,0,0,'Données projet'!$E$15+1,1))-AVERAGE(OFFSET($H$3,0,0,'Données projet'!$E$15+1,1))</f>
        <v>447.10969593632467</v>
      </c>
      <c r="EP202" s="57">
        <f t="shared" si="210"/>
        <v>256.77417912163997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20.814076547049851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20.814076547049851</v>
      </c>
      <c r="EZ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7" t="e">
        <f t="shared" si="199"/>
        <v>#N/A</v>
      </c>
      <c r="FJ202" s="57" t="e">
        <f ca="1">AVERAGE(OFFSET($FI$3,0,0,'Données projet'!$E$16+1,1))-AVERAGE(OFFSET($H$3,0,0,'Données projet'!$E$16+1,1))</f>
        <v>#N/A</v>
      </c>
      <c r="FK202" s="57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7" t="e">
        <f t="shared" si="200"/>
        <v>#N/A</v>
      </c>
      <c r="GE202" s="57" t="e">
        <f ca="1">AVERAGE(OFFSET($GD$3,0,0,'Données projet'!$E$17+1,1))-AVERAGE(OFFSET($H$3,0,0,'Données projet'!$E$17+1,1))</f>
        <v>#N/A</v>
      </c>
      <c r="GF202" s="57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7" t="e">
        <f t="shared" si="201"/>
        <v>#N/A</v>
      </c>
      <c r="GZ202" s="57" t="e">
        <f ca="1">AVERAGE(OFFSET($GY$3,0,0,'Données projet'!$E$18+1,1))-AVERAGE(OFFSET($H$3,0,0,'Données projet'!$E$18+1,1))</f>
        <v>#N/A</v>
      </c>
      <c r="HA202" s="57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0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4">
        <f t="shared" si="192"/>
        <v>256.66666666666669</v>
      </c>
      <c r="I203" s="6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636.99999999999977</v>
      </c>
      <c r="O203" s="13">
        <f>N203*VLOOKUP('Données projet'!$B$9,Paramètres!$A$1:$I$89,3,0)*VLOOKUP('Données projet'!$B$9,Paramètres!$A$1:$I$89,5,0)</f>
        <v>356.08299999999991</v>
      </c>
      <c r="P203" s="13">
        <f t="shared" si="203"/>
        <v>82.813805255716545</v>
      </c>
      <c r="Q203" s="20">
        <f t="shared" si="162"/>
        <v>764.41193582037283</v>
      </c>
      <c r="R203" s="57">
        <f t="shared" si="191"/>
        <v>1057.7452691537062</v>
      </c>
      <c r="S203" s="57">
        <f ca="1">AVERAGE(OFFSET($R$3,0,0,'Données projet'!$E$9+1,1))-AVERAGE(OFFSET($H$3,0,0,'Données projet'!$E$9+1,1))</f>
        <v>443.34220761968419</v>
      </c>
      <c r="T203" s="57">
        <f t="shared" si="204"/>
        <v>546.58234447298014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6.1081637920222898</v>
      </c>
      <c r="AA203" s="21">
        <f>EXP(-LN(2)/25)*AA202+(1-EXP(-LN(2)/25))/(LN(2)/25)*Calculateur!V203*Calculateur!X203*VLOOKUP('Données projet'!$B$9,Paramètres!$A$1:$I$89,3,0)*0.475*44/12</f>
        <v>0.1968698838120751</v>
      </c>
      <c r="AB203" s="21">
        <f>EXP(-LN(2)/2)*AB202+(1-EXP(-LN(2)/2))/(LN(2)/2)*V203*Y203*VLOOKUP('Données projet'!$B$9,Paramètres!$A$1:$I$89,3,0)*0.475*44/12</f>
        <v>1.5617678786399376E-25</v>
      </c>
      <c r="AC203" s="22">
        <f t="shared" si="163"/>
        <v>6.3050336758343652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911.99999999999898</v>
      </c>
      <c r="AJ203" s="13">
        <f>AI203*VLOOKUP('Données projet'!$B$10,Paramètres!$A$1:$I$89,3,0)*VLOOKUP('Données projet'!$B$10,Paramètres!$A$1:$I$89,5,0)</f>
        <v>426.81599999999946</v>
      </c>
      <c r="AK203" s="13">
        <f t="shared" si="164"/>
        <v>97.192496986872399</v>
      </c>
      <c r="AL203" s="20">
        <f t="shared" si="165"/>
        <v>912.64813225213504</v>
      </c>
      <c r="AM203" s="57">
        <f t="shared" si="193"/>
        <v>1205.9814655854684</v>
      </c>
      <c r="AN203" s="57">
        <f ca="1">AVERAGE(OFFSET($AM$3,0,0,'Données projet'!$E$10+1,1))-AVERAGE(OFFSET($H$3,0,0,'Données projet'!$E$10+1,1))</f>
        <v>524.3999528951972</v>
      </c>
      <c r="AO203" s="57">
        <f t="shared" si="205"/>
        <v>459.3547783500515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13.803549654601898</v>
      </c>
      <c r="AV203" s="21">
        <f>EXP(-LN(2)/25)*AV202+(1-EXP(-LN(2)/25))/(LN(2)/25)*Calculateur!AQ203*Calculateur!AS203*VLOOKUP('Données projet'!$B$10,Paramètres!$A$1:$I$89,3,0)*0.475*44/12</f>
        <v>0.47958800082326281</v>
      </c>
      <c r="AW203" s="21">
        <f>EXP(-LN(2)/2)*AW202+(1-EXP(-LN(2)/2))/(LN(2)/2)*AQ203*AT203*VLOOKUP('Données projet'!$B$10,Paramètres!$A$1:$I$89,3,0)*0.475*44/12</f>
        <v>3.0818697422110554E-26</v>
      </c>
      <c r="AX203" s="21">
        <f t="shared" si="166"/>
        <v>14.283137655425161</v>
      </c>
      <c r="AY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852.00000000000011</v>
      </c>
      <c r="BE203" s="13">
        <f>BD203*VLOOKUP('Données projet'!$B$11,Paramètres!$A$1:$I$89,3,0)*VLOOKUP('Données projet'!$B$11,Paramètres!$A$1:$I$89,5,0)</f>
        <v>409.81200000000013</v>
      </c>
      <c r="BF203" s="13">
        <f t="shared" si="167"/>
        <v>93.76308331402879</v>
      </c>
      <c r="BG203" s="20">
        <f t="shared" si="168"/>
        <v>877.05993677193362</v>
      </c>
      <c r="BH203" s="57">
        <f t="shared" si="194"/>
        <v>1170.393270105267</v>
      </c>
      <c r="BI203" s="57">
        <f ca="1">AVERAGE(OFFSET($BH$3,0,0,'Données projet'!$E$11+1,1))-AVERAGE(OFFSET($H$3,0,0,'Données projet'!$E$11+1,1))</f>
        <v>495.6473104257044</v>
      </c>
      <c r="BJ203" s="57">
        <f t="shared" si="206"/>
        <v>430.92527296485201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14.379915098671464</v>
      </c>
      <c r="BQ203" s="21">
        <f>EXP(-LN(2)/25)*BQ202+(1-EXP(-LN(2)/25))/(LN(2)/25)*Calculateur!BL203*Calculateur!BN203*VLOOKUP('Données projet'!$B$11,Paramètres!$A$1:$I$89,3,0)*0.475*44/12</f>
        <v>0.45183406559043432</v>
      </c>
      <c r="BR203" s="21">
        <f>EXP(-LN(2)/2)*BR202+(1-EXP(-LN(2)/2))/(LN(2)/2)*BL203*BO203*VLOOKUP('Données projet'!$B$11,Paramètres!$A$1:$I$89,3,0)*0.475*44/12</f>
        <v>1.8916877931550115E-26</v>
      </c>
      <c r="BS203" s="22">
        <f t="shared" si="169"/>
        <v>14.831749164261899</v>
      </c>
      <c r="BT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7" t="e">
        <f t="shared" si="195"/>
        <v>#NUM!</v>
      </c>
      <c r="CD203" s="57">
        <f ca="1">AVERAGE(OFFSET($CC$3,0,0,'Données projet'!$E$12+1,1))-AVERAGE(OFFSET($H$3,0,0,'Données projet'!$E$12+1,1))</f>
        <v>187.80389738728508</v>
      </c>
      <c r="CE203" s="57">
        <f t="shared" si="207"/>
        <v>439.28159165815265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4.2614357585896974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3.1901233358186815E-26</v>
      </c>
      <c r="CN203" s="22">
        <f t="shared" si="172"/>
        <v>4.2614357585896974</v>
      </c>
      <c r="CO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267</v>
      </c>
      <c r="CU203" s="17">
        <f>CT203*VLOOKUP('Données projet'!$B$13,Paramètres!$A$1:$I$89,3,0)*VLOOKUP('Données projet'!$B$13,Paramètres!$A$1:$I$89,5,0)</f>
        <v>241.58159999999998</v>
      </c>
      <c r="CV203" s="13">
        <f t="shared" si="173"/>
        <v>58.779689232021951</v>
      </c>
      <c r="CW203" s="20">
        <f t="shared" si="174"/>
        <v>523.12924541243819</v>
      </c>
      <c r="CX203" s="57">
        <f t="shared" si="196"/>
        <v>816.46257874577145</v>
      </c>
      <c r="CY203" s="57">
        <f ca="1">AVERAGE(OFFSET($CX$3,0,0,'Données projet'!$E$13+1,1))-AVERAGE(OFFSET($H$3,0,0,'Données projet'!$E$13+1,1))</f>
        <v>364.3481978218424</v>
      </c>
      <c r="CZ203" s="57">
        <f t="shared" si="208"/>
        <v>231.36959598460686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14.040129745549452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14.040129745549452</v>
      </c>
      <c r="DJ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255.00000000000006</v>
      </c>
      <c r="DP203" s="17">
        <f>DO203*VLOOKUP('Données projet'!$B$14,Paramètres!$A$1:$I$89,3,0)*VLOOKUP('Données projet'!$B$14,Paramètres!$A$1:$I$89,5,0)</f>
        <v>186.96600000000004</v>
      </c>
      <c r="DQ203" s="13">
        <f t="shared" si="176"/>
        <v>46.868551400324648</v>
      </c>
      <c r="DR203" s="20">
        <f t="shared" si="177"/>
        <v>407.26184368889881</v>
      </c>
      <c r="DS203" s="57">
        <f t="shared" si="197"/>
        <v>700.59517702223206</v>
      </c>
      <c r="DT203" s="57">
        <f ca="1">AVERAGE(OFFSET($DS$3,0,0,'Données projet'!$E$14+1,1))-AVERAGE(OFFSET($H$3,0,0,'Données projet'!$E$14+1,1))</f>
        <v>239.25212250019609</v>
      </c>
      <c r="DU203" s="57">
        <f t="shared" si="209"/>
        <v>213.58492101729695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403.99999999999994</v>
      </c>
      <c r="EK203" s="17">
        <f>EJ203*VLOOKUP('Données projet'!$B$15,Paramètres!$A$1:$I$89,3,0)*VLOOKUP('Données projet'!$B$15,Paramètres!$A$1:$I$89,5,0)</f>
        <v>346.63200000000001</v>
      </c>
      <c r="EL203" s="13">
        <f t="shared" si="179"/>
        <v>80.868615263336864</v>
      </c>
      <c r="EM203" s="20">
        <f t="shared" si="180"/>
        <v>744.56357158364483</v>
      </c>
      <c r="EN203" s="57">
        <f t="shared" si="198"/>
        <v>1037.8969049169782</v>
      </c>
      <c r="EO203" s="57">
        <f ca="1">AVERAGE(OFFSET($EN$3,0,0,'Données projet'!$E$15+1,1))-AVERAGE(OFFSET($H$3,0,0,'Données projet'!$E$15+1,1))</f>
        <v>447.10969593632467</v>
      </c>
      <c r="EP203" s="57">
        <f t="shared" si="210"/>
        <v>256.77417912163997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20.405925201295336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20.405925201295336</v>
      </c>
      <c r="EZ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7" t="e">
        <f t="shared" si="199"/>
        <v>#N/A</v>
      </c>
      <c r="FJ203" s="57" t="e">
        <f ca="1">AVERAGE(OFFSET($FI$3,0,0,'Données projet'!$E$16+1,1))-AVERAGE(OFFSET($H$3,0,0,'Données projet'!$E$16+1,1))</f>
        <v>#N/A</v>
      </c>
      <c r="FK203" s="57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7" t="e">
        <f t="shared" si="200"/>
        <v>#N/A</v>
      </c>
      <c r="GE203" s="57" t="e">
        <f ca="1">AVERAGE(OFFSET($GD$3,0,0,'Données projet'!$E$17+1,1))-AVERAGE(OFFSET($H$3,0,0,'Données projet'!$E$17+1,1))</f>
        <v>#N/A</v>
      </c>
      <c r="GF203" s="57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7" t="e">
        <f t="shared" si="201"/>
        <v>#N/A</v>
      </c>
      <c r="GZ203" s="57" t="e">
        <f ca="1">AVERAGE(OFFSET($GY$3,0,0,'Données projet'!$E$18+1,1))-AVERAGE(OFFSET($H$3,0,0,'Données projet'!$E$18+1,1))</f>
        <v>#N/A</v>
      </c>
      <c r="HA203" s="57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3"/>
      <c r="D204" s="74"/>
      <c r="E204" s="74"/>
      <c r="F204" s="74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3"/>
      <c r="I204" s="73"/>
      <c r="J204" s="73"/>
      <c r="K204" s="81" t="s">
        <v>293</v>
      </c>
      <c r="L204" s="75"/>
      <c r="M204" s="75"/>
      <c r="N204" s="75"/>
      <c r="O204" s="73"/>
      <c r="P204" s="73"/>
      <c r="Q204" s="74"/>
      <c r="R204" s="76"/>
      <c r="S204" s="76"/>
      <c r="T204" s="76"/>
      <c r="U204" s="75"/>
      <c r="V204" s="75"/>
      <c r="W204" s="77"/>
      <c r="X204" s="77"/>
      <c r="Y204" s="77"/>
      <c r="Z204" s="73"/>
      <c r="AA204" s="73"/>
      <c r="AB204" s="73"/>
      <c r="AC204" s="73"/>
      <c r="AD204" s="73"/>
      <c r="AE204" s="73"/>
      <c r="AF204" s="78" t="s">
        <v>293</v>
      </c>
      <c r="BA204" s="78" t="s">
        <v>293</v>
      </c>
      <c r="BV204" s="78" t="s">
        <v>293</v>
      </c>
      <c r="CQ204" s="78" t="s">
        <v>293</v>
      </c>
      <c r="DL204" s="78" t="s">
        <v>293</v>
      </c>
      <c r="EG204" s="78" t="s">
        <v>293</v>
      </c>
      <c r="FB204" s="78" t="s">
        <v>293</v>
      </c>
      <c r="FW204" s="78" t="s">
        <v>293</v>
      </c>
      <c r="GR204" s="78" t="s">
        <v>293</v>
      </c>
    </row>
    <row r="205" spans="1:218" ht="15" thickBot="1" x14ac:dyDescent="0.35">
      <c r="B205" s="10"/>
      <c r="C205" s="73"/>
      <c r="D205" s="74"/>
      <c r="E205" s="74"/>
      <c r="F205" s="74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3"/>
      <c r="I205" s="73"/>
      <c r="J205" s="73"/>
      <c r="K205" s="79">
        <f>EXP(LN('Données projet'!B36)/'Données projet'!A36)</f>
        <v>1.3070441688874561</v>
      </c>
      <c r="L205" s="75"/>
      <c r="M205" s="75"/>
      <c r="N205" s="75"/>
      <c r="O205" s="73"/>
      <c r="P205" s="73"/>
      <c r="Q205" s="74"/>
      <c r="R205" s="76"/>
      <c r="S205" s="76"/>
      <c r="T205" s="76"/>
      <c r="U205" s="75"/>
      <c r="V205" s="75"/>
      <c r="W205" s="77"/>
      <c r="X205" s="77"/>
      <c r="Y205" s="77"/>
      <c r="Z205" s="73"/>
      <c r="AA205" s="73"/>
      <c r="AB205" s="73"/>
      <c r="AC205" s="73"/>
      <c r="AD205" s="73"/>
      <c r="AE205" s="73"/>
      <c r="AF205" s="80">
        <f>EXP(LN('Données projet'!B62)/'Données projet'!A62)</f>
        <v>1.3556619776599483</v>
      </c>
      <c r="BA205" s="79">
        <f>EXP(LN('Données projet'!B88)/'Données projet'!A88)</f>
        <v>1.3078136577370625</v>
      </c>
      <c r="BV205" s="79">
        <f>EXP(LN('Données projet'!B114)/'Données projet'!A114)</f>
        <v>1.4943820583928935</v>
      </c>
      <c r="CQ205" s="79">
        <f>EXP(LN('Données projet'!B140)/'Données projet'!A140)</f>
        <v>1.2054868146447177</v>
      </c>
      <c r="DL205" s="79">
        <f>EXP(LN('Données projet'!B166)/'Données projet'!A166)</f>
        <v>1.6071994829923506</v>
      </c>
      <c r="EG205" s="79">
        <f>EXP(LN('Données projet'!B192)/'Données projet'!A192)</f>
        <v>1.189207115002721</v>
      </c>
      <c r="FB205" s="79" t="e">
        <f>EXP(LN('Données projet'!B218)/'Données projet'!A218)</f>
        <v>#NUM!</v>
      </c>
      <c r="FW205" s="79" t="e">
        <f>EXP(LN('Données projet'!B244)/'Données projet'!A244)</f>
        <v>#NUM!</v>
      </c>
      <c r="GR205" s="79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6" t="s">
        <v>0</v>
      </c>
      <c r="B1" s="107" t="s">
        <v>106</v>
      </c>
      <c r="C1" s="108" t="s">
        <v>144</v>
      </c>
      <c r="D1" s="107" t="s">
        <v>100</v>
      </c>
      <c r="E1" s="108" t="s">
        <v>145</v>
      </c>
      <c r="F1" s="108" t="s">
        <v>100</v>
      </c>
      <c r="G1" s="108" t="s">
        <v>146</v>
      </c>
      <c r="H1" s="108" t="s">
        <v>100</v>
      </c>
      <c r="I1" s="109" t="s">
        <v>147</v>
      </c>
      <c r="J1" s="75"/>
      <c r="K1" s="75"/>
      <c r="L1" s="75"/>
      <c r="M1" s="75"/>
      <c r="N1" s="75"/>
    </row>
    <row r="2" spans="1:16" x14ac:dyDescent="0.3">
      <c r="A2" s="110" t="s">
        <v>1</v>
      </c>
      <c r="B2" s="111" t="s">
        <v>53</v>
      </c>
      <c r="C2" s="112">
        <v>0.62</v>
      </c>
      <c r="D2" s="112" t="s">
        <v>161</v>
      </c>
      <c r="E2" s="112">
        <v>1.56</v>
      </c>
      <c r="F2" s="112" t="s">
        <v>274</v>
      </c>
      <c r="G2" s="113">
        <v>0.43</v>
      </c>
      <c r="H2" s="114" t="s">
        <v>278</v>
      </c>
      <c r="I2" s="115">
        <v>0.25</v>
      </c>
      <c r="J2" s="75"/>
      <c r="K2" s="75"/>
      <c r="L2" s="75"/>
      <c r="M2" s="75"/>
      <c r="N2" s="75"/>
      <c r="O2" s="286" t="s">
        <v>238</v>
      </c>
      <c r="P2" s="116">
        <v>0</v>
      </c>
    </row>
    <row r="3" spans="1:16" ht="15" thickBot="1" x14ac:dyDescent="0.35">
      <c r="A3" s="117" t="s">
        <v>2</v>
      </c>
      <c r="B3" s="118" t="s">
        <v>54</v>
      </c>
      <c r="C3" s="119">
        <v>0.64</v>
      </c>
      <c r="D3" s="119" t="s">
        <v>161</v>
      </c>
      <c r="E3" s="119">
        <v>1.56</v>
      </c>
      <c r="F3" s="120" t="s">
        <v>274</v>
      </c>
      <c r="G3" s="121">
        <v>0.43</v>
      </c>
      <c r="H3" s="119" t="s">
        <v>278</v>
      </c>
      <c r="I3" s="122">
        <v>0.25</v>
      </c>
      <c r="J3" s="75"/>
      <c r="K3" s="75"/>
      <c r="L3" s="75"/>
      <c r="M3" s="75"/>
      <c r="N3" s="75"/>
      <c r="O3" s="287"/>
      <c r="P3" s="123">
        <v>0.2</v>
      </c>
    </row>
    <row r="4" spans="1:16" ht="15" thickBot="1" x14ac:dyDescent="0.35">
      <c r="A4" s="117" t="s">
        <v>98</v>
      </c>
      <c r="B4" s="118" t="s">
        <v>99</v>
      </c>
      <c r="C4" s="119">
        <v>0.42</v>
      </c>
      <c r="D4" s="119" t="s">
        <v>161</v>
      </c>
      <c r="E4" s="119">
        <v>1.56</v>
      </c>
      <c r="F4" s="120" t="s">
        <v>274</v>
      </c>
      <c r="G4" s="121">
        <v>0.43</v>
      </c>
      <c r="H4" s="119" t="s">
        <v>278</v>
      </c>
      <c r="I4" s="122">
        <v>0.25</v>
      </c>
      <c r="J4" s="75"/>
      <c r="K4" s="75"/>
      <c r="L4" s="75"/>
      <c r="M4" s="75"/>
      <c r="N4" s="75"/>
    </row>
    <row r="5" spans="1:16" x14ac:dyDescent="0.3">
      <c r="A5" s="117" t="s">
        <v>4</v>
      </c>
      <c r="B5" s="118" t="s">
        <v>55</v>
      </c>
      <c r="C5" s="119">
        <v>0.42</v>
      </c>
      <c r="D5" s="119" t="s">
        <v>161</v>
      </c>
      <c r="E5" s="119">
        <v>1.56</v>
      </c>
      <c r="F5" s="120" t="s">
        <v>274</v>
      </c>
      <c r="G5" s="121">
        <v>0.43</v>
      </c>
      <c r="H5" s="119" t="s">
        <v>278</v>
      </c>
      <c r="I5" s="122">
        <v>0.25</v>
      </c>
      <c r="J5" s="75"/>
      <c r="K5" s="75"/>
      <c r="L5" s="75"/>
      <c r="M5" s="75"/>
      <c r="N5" s="75"/>
      <c r="O5" s="286" t="s">
        <v>237</v>
      </c>
      <c r="P5" s="116">
        <v>0</v>
      </c>
    </row>
    <row r="6" spans="1:16" x14ac:dyDescent="0.3">
      <c r="A6" s="117" t="s">
        <v>3</v>
      </c>
      <c r="B6" s="118" t="s">
        <v>97</v>
      </c>
      <c r="C6" s="119">
        <v>0.42</v>
      </c>
      <c r="D6" s="119" t="s">
        <v>161</v>
      </c>
      <c r="E6" s="119">
        <v>1.56</v>
      </c>
      <c r="F6" s="120" t="s">
        <v>274</v>
      </c>
      <c r="G6" s="121">
        <v>0.43</v>
      </c>
      <c r="H6" s="119" t="s">
        <v>278</v>
      </c>
      <c r="I6" s="122">
        <v>0.25</v>
      </c>
      <c r="J6" s="75"/>
      <c r="K6" s="75"/>
      <c r="L6" s="75"/>
      <c r="M6" s="75"/>
      <c r="N6" s="75"/>
      <c r="O6" s="288"/>
      <c r="P6" s="124">
        <v>0.05</v>
      </c>
    </row>
    <row r="7" spans="1:16" x14ac:dyDescent="0.3">
      <c r="A7" s="117" t="s">
        <v>5</v>
      </c>
      <c r="B7" s="118" t="s">
        <v>56</v>
      </c>
      <c r="C7" s="119">
        <v>0.52</v>
      </c>
      <c r="D7" s="119" t="s">
        <v>161</v>
      </c>
      <c r="E7" s="119">
        <v>1.56</v>
      </c>
      <c r="F7" s="120" t="s">
        <v>274</v>
      </c>
      <c r="G7" s="121">
        <v>0.43</v>
      </c>
      <c r="H7" s="119" t="s">
        <v>278</v>
      </c>
      <c r="I7" s="122">
        <v>0.25</v>
      </c>
      <c r="J7" s="75"/>
      <c r="K7" s="75"/>
      <c r="L7" s="75"/>
      <c r="M7" s="75"/>
      <c r="N7" s="75"/>
      <c r="O7" s="288"/>
      <c r="P7" s="124">
        <v>0.1</v>
      </c>
    </row>
    <row r="8" spans="1:16" ht="15" thickBot="1" x14ac:dyDescent="0.35">
      <c r="A8" s="117" t="s">
        <v>164</v>
      </c>
      <c r="B8" s="118" t="s">
        <v>57</v>
      </c>
      <c r="C8" s="119">
        <v>0.36</v>
      </c>
      <c r="D8" s="119" t="s">
        <v>161</v>
      </c>
      <c r="E8" s="119">
        <v>1.3</v>
      </c>
      <c r="F8" s="120" t="s">
        <v>274</v>
      </c>
      <c r="G8" s="121">
        <v>0.55000000000000004</v>
      </c>
      <c r="H8" s="119" t="s">
        <v>153</v>
      </c>
      <c r="I8" s="122">
        <v>0.43</v>
      </c>
      <c r="J8" s="75"/>
      <c r="K8" s="75"/>
      <c r="L8" s="75"/>
      <c r="M8" s="75"/>
      <c r="N8" s="75"/>
      <c r="O8" s="287"/>
      <c r="P8" s="123">
        <v>0.15</v>
      </c>
    </row>
    <row r="9" spans="1:16" ht="15" thickBot="1" x14ac:dyDescent="0.35">
      <c r="A9" s="117" t="s">
        <v>6</v>
      </c>
      <c r="B9" s="118" t="s">
        <v>58</v>
      </c>
      <c r="C9" s="119">
        <v>0.61</v>
      </c>
      <c r="D9" s="119" t="s">
        <v>161</v>
      </c>
      <c r="E9" s="119">
        <v>1.56</v>
      </c>
      <c r="F9" s="120" t="s">
        <v>274</v>
      </c>
      <c r="G9" s="121">
        <v>0.43</v>
      </c>
      <c r="H9" s="119" t="s">
        <v>278</v>
      </c>
      <c r="I9" s="122">
        <v>0.25</v>
      </c>
      <c r="J9" s="75"/>
      <c r="K9" s="75"/>
      <c r="L9" s="75"/>
      <c r="M9" s="75"/>
      <c r="N9" s="75"/>
    </row>
    <row r="10" spans="1:16" x14ac:dyDescent="0.3">
      <c r="A10" s="117" t="s">
        <v>7</v>
      </c>
      <c r="B10" s="118" t="s">
        <v>59</v>
      </c>
      <c r="C10" s="119">
        <v>0.66</v>
      </c>
      <c r="D10" s="119" t="s">
        <v>161</v>
      </c>
      <c r="E10" s="119">
        <v>1.56</v>
      </c>
      <c r="F10" s="120" t="s">
        <v>274</v>
      </c>
      <c r="G10" s="121">
        <v>0.43</v>
      </c>
      <c r="H10" s="119" t="s">
        <v>278</v>
      </c>
      <c r="I10" s="122">
        <v>0.25</v>
      </c>
      <c r="J10" s="75"/>
      <c r="K10" s="75"/>
      <c r="L10" s="75"/>
      <c r="M10" s="75"/>
      <c r="N10" s="75"/>
      <c r="O10" s="286" t="s">
        <v>236</v>
      </c>
      <c r="P10" s="116">
        <v>0</v>
      </c>
    </row>
    <row r="11" spans="1:16" ht="15" thickBot="1" x14ac:dyDescent="0.35">
      <c r="A11" s="117" t="s">
        <v>8</v>
      </c>
      <c r="B11" s="118" t="s">
        <v>60</v>
      </c>
      <c r="C11" s="119">
        <v>0.47</v>
      </c>
      <c r="D11" s="119" t="s">
        <v>161</v>
      </c>
      <c r="E11" s="119">
        <v>1.56</v>
      </c>
      <c r="F11" s="120" t="s">
        <v>274</v>
      </c>
      <c r="G11" s="121">
        <v>0.43</v>
      </c>
      <c r="H11" s="119" t="s">
        <v>278</v>
      </c>
      <c r="I11" s="122">
        <v>0.25</v>
      </c>
      <c r="J11" s="75"/>
      <c r="K11" s="75"/>
      <c r="L11" s="75"/>
      <c r="M11" s="75"/>
      <c r="N11" s="75"/>
      <c r="O11" s="287"/>
      <c r="P11" s="123">
        <v>0.1</v>
      </c>
    </row>
    <row r="12" spans="1:16" x14ac:dyDescent="0.3">
      <c r="A12" s="117" t="s">
        <v>9</v>
      </c>
      <c r="B12" s="118" t="s">
        <v>61</v>
      </c>
      <c r="C12" s="119">
        <v>0.67</v>
      </c>
      <c r="D12" s="119" t="s">
        <v>161</v>
      </c>
      <c r="E12" s="119">
        <v>1.56</v>
      </c>
      <c r="F12" s="120" t="s">
        <v>274</v>
      </c>
      <c r="G12" s="121">
        <v>0.43</v>
      </c>
      <c r="H12" s="119" t="s">
        <v>152</v>
      </c>
      <c r="I12" s="122">
        <v>0.25</v>
      </c>
      <c r="J12" s="75"/>
      <c r="K12" s="75"/>
      <c r="L12" s="75"/>
      <c r="M12" s="75"/>
      <c r="N12" s="75"/>
    </row>
    <row r="13" spans="1:16" x14ac:dyDescent="0.3">
      <c r="A13" s="117" t="s">
        <v>10</v>
      </c>
      <c r="B13" s="118" t="s">
        <v>62</v>
      </c>
      <c r="C13" s="119">
        <v>0.7</v>
      </c>
      <c r="D13" s="119" t="s">
        <v>161</v>
      </c>
      <c r="E13" s="119">
        <v>1.56</v>
      </c>
      <c r="F13" s="120" t="s">
        <v>274</v>
      </c>
      <c r="G13" s="121">
        <v>0.43</v>
      </c>
      <c r="H13" s="119" t="s">
        <v>152</v>
      </c>
      <c r="I13" s="122">
        <v>0.25</v>
      </c>
      <c r="J13" s="75"/>
      <c r="K13" s="75"/>
      <c r="L13" s="75"/>
      <c r="M13" s="75"/>
      <c r="N13" s="75"/>
    </row>
    <row r="14" spans="1:16" x14ac:dyDescent="0.3">
      <c r="A14" s="117" t="s">
        <v>11</v>
      </c>
      <c r="B14" s="118" t="s">
        <v>63</v>
      </c>
      <c r="C14" s="119">
        <v>0.54</v>
      </c>
      <c r="D14" s="119" t="s">
        <v>161</v>
      </c>
      <c r="E14" s="119">
        <v>1.56</v>
      </c>
      <c r="F14" s="120" t="s">
        <v>274</v>
      </c>
      <c r="G14" s="121">
        <v>0.43</v>
      </c>
      <c r="H14" s="119" t="s">
        <v>152</v>
      </c>
      <c r="I14" s="122">
        <v>0.25</v>
      </c>
      <c r="J14" s="75"/>
      <c r="K14" s="75"/>
      <c r="L14" s="75"/>
      <c r="M14" s="75"/>
      <c r="N14" s="75"/>
    </row>
    <row r="15" spans="1:16" x14ac:dyDescent="0.3">
      <c r="A15" s="117" t="s">
        <v>12</v>
      </c>
      <c r="B15" s="118" t="s">
        <v>64</v>
      </c>
      <c r="C15" s="119">
        <v>0.65</v>
      </c>
      <c r="D15" s="119" t="s">
        <v>161</v>
      </c>
      <c r="E15" s="119">
        <v>1.56</v>
      </c>
      <c r="F15" s="120" t="s">
        <v>274</v>
      </c>
      <c r="G15" s="121">
        <v>0.43</v>
      </c>
      <c r="H15" s="119" t="s">
        <v>152</v>
      </c>
      <c r="I15" s="122">
        <v>0.25</v>
      </c>
      <c r="J15" s="75"/>
      <c r="K15" s="75"/>
      <c r="L15" s="75"/>
      <c r="M15" s="75"/>
      <c r="N15" s="75"/>
    </row>
    <row r="16" spans="1:16" x14ac:dyDescent="0.3">
      <c r="A16" s="117" t="s">
        <v>13</v>
      </c>
      <c r="B16" s="118" t="s">
        <v>65</v>
      </c>
      <c r="C16" s="119">
        <v>0.56000000000000005</v>
      </c>
      <c r="D16" s="119" t="s">
        <v>161</v>
      </c>
      <c r="E16" s="119">
        <v>1.56</v>
      </c>
      <c r="F16" s="120" t="s">
        <v>274</v>
      </c>
      <c r="G16" s="121">
        <v>0.43</v>
      </c>
      <c r="H16" s="119" t="s">
        <v>152</v>
      </c>
      <c r="I16" s="122">
        <v>0.25</v>
      </c>
      <c r="J16" s="75"/>
      <c r="K16" s="75"/>
      <c r="L16" s="75"/>
      <c r="M16" s="75"/>
      <c r="N16" s="75"/>
    </row>
    <row r="17" spans="1:14" x14ac:dyDescent="0.3">
      <c r="A17" s="117" t="s">
        <v>14</v>
      </c>
      <c r="B17" s="118" t="s">
        <v>66</v>
      </c>
      <c r="C17" s="119">
        <v>0.57999999999999996</v>
      </c>
      <c r="D17" s="119" t="s">
        <v>161</v>
      </c>
      <c r="E17" s="119">
        <v>1.56</v>
      </c>
      <c r="F17" s="120" t="s">
        <v>274</v>
      </c>
      <c r="G17" s="121">
        <v>0.43</v>
      </c>
      <c r="H17" s="119" t="s">
        <v>152</v>
      </c>
      <c r="I17" s="122">
        <v>0.25</v>
      </c>
      <c r="J17" s="75"/>
      <c r="K17" s="75"/>
      <c r="L17" s="75"/>
      <c r="M17" s="75"/>
      <c r="N17" s="75"/>
    </row>
    <row r="18" spans="1:14" x14ac:dyDescent="0.3">
      <c r="A18" s="117" t="s">
        <v>15</v>
      </c>
      <c r="B18" s="118" t="s">
        <v>67</v>
      </c>
      <c r="C18" s="119">
        <v>0.64</v>
      </c>
      <c r="D18" s="119" t="s">
        <v>161</v>
      </c>
      <c r="E18" s="119">
        <v>1.56</v>
      </c>
      <c r="F18" s="120" t="s">
        <v>274</v>
      </c>
      <c r="G18" s="121">
        <v>0.43</v>
      </c>
      <c r="H18" s="119" t="s">
        <v>152</v>
      </c>
      <c r="I18" s="122">
        <v>0.25</v>
      </c>
      <c r="J18" s="75"/>
      <c r="K18" s="75"/>
      <c r="L18" s="75"/>
      <c r="M18" s="75"/>
      <c r="N18" s="75"/>
    </row>
    <row r="19" spans="1:14" x14ac:dyDescent="0.3">
      <c r="A19" s="117" t="s">
        <v>16</v>
      </c>
      <c r="B19" s="118" t="s">
        <v>68</v>
      </c>
      <c r="C19" s="119">
        <v>0.73</v>
      </c>
      <c r="D19" s="119" t="s">
        <v>161</v>
      </c>
      <c r="E19" s="119">
        <v>1.56</v>
      </c>
      <c r="F19" s="120" t="s">
        <v>274</v>
      </c>
      <c r="G19" s="121">
        <v>0.43</v>
      </c>
      <c r="H19" s="119" t="s">
        <v>152</v>
      </c>
      <c r="I19" s="122">
        <v>0.25</v>
      </c>
      <c r="J19" s="75"/>
      <c r="K19" s="75"/>
      <c r="L19" s="75"/>
      <c r="M19" s="75"/>
      <c r="N19" s="75"/>
    </row>
    <row r="20" spans="1:14" x14ac:dyDescent="0.3">
      <c r="A20" s="117" t="s">
        <v>52</v>
      </c>
      <c r="B20" s="118" t="s">
        <v>69</v>
      </c>
      <c r="C20" s="119">
        <v>0.69</v>
      </c>
      <c r="D20" s="119" t="s">
        <v>131</v>
      </c>
      <c r="E20" s="119">
        <v>1.56</v>
      </c>
      <c r="F20" s="120" t="s">
        <v>274</v>
      </c>
      <c r="G20" s="121">
        <v>0.43</v>
      </c>
      <c r="H20" s="119" t="s">
        <v>282</v>
      </c>
      <c r="I20" s="122">
        <v>0.25</v>
      </c>
      <c r="J20" s="75"/>
      <c r="K20" s="75"/>
      <c r="L20" s="75"/>
      <c r="M20" s="75"/>
      <c r="N20" s="75"/>
    </row>
    <row r="21" spans="1:14" x14ac:dyDescent="0.3">
      <c r="A21" s="117" t="s">
        <v>154</v>
      </c>
      <c r="B21" s="118" t="s">
        <v>155</v>
      </c>
      <c r="C21" s="119">
        <v>0.36</v>
      </c>
      <c r="D21" s="119" t="s">
        <v>161</v>
      </c>
      <c r="E21" s="119">
        <v>1.3</v>
      </c>
      <c r="F21" s="120" t="s">
        <v>274</v>
      </c>
      <c r="G21" s="121">
        <v>0.55000000000000004</v>
      </c>
      <c r="H21" s="119" t="s">
        <v>153</v>
      </c>
      <c r="I21" s="122">
        <v>0.43</v>
      </c>
      <c r="J21" s="75"/>
      <c r="K21" s="75"/>
      <c r="L21" s="75"/>
      <c r="M21" s="75"/>
      <c r="N21" s="75"/>
    </row>
    <row r="22" spans="1:14" x14ac:dyDescent="0.3">
      <c r="A22" s="117" t="s">
        <v>17</v>
      </c>
      <c r="B22" s="118" t="s">
        <v>70</v>
      </c>
      <c r="C22" s="119">
        <v>0.4</v>
      </c>
      <c r="D22" s="119" t="s">
        <v>161</v>
      </c>
      <c r="E22" s="119">
        <v>1.3</v>
      </c>
      <c r="F22" s="120" t="s">
        <v>274</v>
      </c>
      <c r="G22" s="121">
        <v>0.55000000000000004</v>
      </c>
      <c r="H22" s="119" t="s">
        <v>153</v>
      </c>
      <c r="I22" s="122">
        <v>0.43</v>
      </c>
      <c r="J22" s="75"/>
      <c r="K22" s="75"/>
      <c r="L22" s="75"/>
      <c r="M22" s="75"/>
      <c r="N22" s="75"/>
    </row>
    <row r="23" spans="1:14" x14ac:dyDescent="0.3">
      <c r="A23" s="117" t="s">
        <v>18</v>
      </c>
      <c r="B23" s="118" t="s">
        <v>71</v>
      </c>
      <c r="C23" s="119">
        <v>0.43</v>
      </c>
      <c r="D23" s="119" t="s">
        <v>161</v>
      </c>
      <c r="E23" s="119">
        <v>1.3</v>
      </c>
      <c r="F23" s="120" t="s">
        <v>274</v>
      </c>
      <c r="G23" s="121">
        <v>0.55000000000000004</v>
      </c>
      <c r="H23" s="119" t="s">
        <v>153</v>
      </c>
      <c r="I23" s="122">
        <v>0.43</v>
      </c>
      <c r="J23" s="75"/>
      <c r="K23" s="75"/>
      <c r="L23" s="75"/>
      <c r="M23" s="75"/>
      <c r="N23" s="75"/>
    </row>
    <row r="24" spans="1:14" x14ac:dyDescent="0.3">
      <c r="A24" s="117" t="s">
        <v>19</v>
      </c>
      <c r="B24" s="118" t="s">
        <v>72</v>
      </c>
      <c r="C24" s="119">
        <v>0.37</v>
      </c>
      <c r="D24" s="119" t="s">
        <v>161</v>
      </c>
      <c r="E24" s="119">
        <v>1.3</v>
      </c>
      <c r="F24" s="120" t="s">
        <v>274</v>
      </c>
      <c r="G24" s="121">
        <v>0.55000000000000004</v>
      </c>
      <c r="H24" s="119" t="s">
        <v>152</v>
      </c>
      <c r="I24" s="122">
        <v>0.43</v>
      </c>
      <c r="J24" s="75"/>
      <c r="K24" s="75"/>
      <c r="L24" s="75"/>
      <c r="M24" s="75"/>
      <c r="N24" s="75"/>
    </row>
    <row r="25" spans="1:14" x14ac:dyDescent="0.3">
      <c r="A25" s="117" t="s">
        <v>20</v>
      </c>
      <c r="B25" s="118" t="s">
        <v>73</v>
      </c>
      <c r="C25" s="119">
        <v>0.36</v>
      </c>
      <c r="D25" s="119" t="s">
        <v>161</v>
      </c>
      <c r="E25" s="119">
        <v>1.3</v>
      </c>
      <c r="F25" s="120" t="s">
        <v>274</v>
      </c>
      <c r="G25" s="121">
        <v>0.55000000000000004</v>
      </c>
      <c r="H25" s="119" t="s">
        <v>152</v>
      </c>
      <c r="I25" s="122">
        <v>0.43</v>
      </c>
      <c r="J25" s="75"/>
      <c r="K25" s="75"/>
      <c r="L25" s="75"/>
      <c r="M25" s="75"/>
      <c r="N25" s="75"/>
    </row>
    <row r="26" spans="1:14" x14ac:dyDescent="0.3">
      <c r="A26" s="117" t="s">
        <v>21</v>
      </c>
      <c r="B26" s="118" t="s">
        <v>74</v>
      </c>
      <c r="C26" s="119">
        <v>0.56000000000000005</v>
      </c>
      <c r="D26" s="119" t="s">
        <v>161</v>
      </c>
      <c r="E26" s="119">
        <v>1.56</v>
      </c>
      <c r="F26" s="120" t="s">
        <v>274</v>
      </c>
      <c r="G26" s="121">
        <v>0.53</v>
      </c>
      <c r="H26" s="119" t="s">
        <v>275</v>
      </c>
      <c r="I26" s="122">
        <v>0.25</v>
      </c>
      <c r="J26" s="75"/>
      <c r="K26" s="75"/>
      <c r="L26" s="75"/>
      <c r="M26" s="75"/>
      <c r="N26" s="75"/>
    </row>
    <row r="27" spans="1:14" x14ac:dyDescent="0.3">
      <c r="A27" s="117" t="s">
        <v>22</v>
      </c>
      <c r="B27" s="118" t="s">
        <v>75</v>
      </c>
      <c r="C27" s="119">
        <v>0.51</v>
      </c>
      <c r="D27" s="119" t="s">
        <v>161</v>
      </c>
      <c r="E27" s="119">
        <v>1.56</v>
      </c>
      <c r="F27" s="120" t="s">
        <v>274</v>
      </c>
      <c r="G27" s="121">
        <v>0.53</v>
      </c>
      <c r="H27" s="119" t="s">
        <v>275</v>
      </c>
      <c r="I27" s="122">
        <v>0.25</v>
      </c>
      <c r="J27" s="75"/>
      <c r="K27" s="75"/>
      <c r="L27" s="75"/>
      <c r="M27" s="75"/>
      <c r="N27" s="75"/>
    </row>
    <row r="28" spans="1:14" x14ac:dyDescent="0.3">
      <c r="A28" s="117" t="s">
        <v>23</v>
      </c>
      <c r="B28" s="118" t="s">
        <v>76</v>
      </c>
      <c r="C28" s="119">
        <v>0.51</v>
      </c>
      <c r="D28" s="119" t="s">
        <v>161</v>
      </c>
      <c r="E28" s="119">
        <v>1.56</v>
      </c>
      <c r="F28" s="120" t="s">
        <v>274</v>
      </c>
      <c r="G28" s="121">
        <v>0.53</v>
      </c>
      <c r="H28" s="119" t="s">
        <v>275</v>
      </c>
      <c r="I28" s="122">
        <v>0.25</v>
      </c>
      <c r="J28" s="75"/>
      <c r="K28" s="75"/>
      <c r="L28" s="75"/>
      <c r="M28" s="75"/>
      <c r="N28" s="75"/>
    </row>
    <row r="29" spans="1:14" x14ac:dyDescent="0.3">
      <c r="A29" s="117" t="s">
        <v>24</v>
      </c>
      <c r="B29" s="118" t="s">
        <v>24</v>
      </c>
      <c r="C29" s="119">
        <v>0.56000000000000005</v>
      </c>
      <c r="D29" s="119" t="s">
        <v>161</v>
      </c>
      <c r="E29" s="119">
        <v>1.56</v>
      </c>
      <c r="F29" s="120" t="s">
        <v>274</v>
      </c>
      <c r="G29" s="121">
        <v>0.53</v>
      </c>
      <c r="H29" s="119" t="s">
        <v>275</v>
      </c>
      <c r="I29" s="122">
        <v>0.25</v>
      </c>
      <c r="J29" s="75"/>
      <c r="K29" s="75"/>
      <c r="L29" s="75"/>
      <c r="M29" s="75"/>
      <c r="N29" s="75"/>
    </row>
    <row r="30" spans="1:14" x14ac:dyDescent="0.3">
      <c r="A30" s="117" t="s">
        <v>25</v>
      </c>
      <c r="B30" s="118" t="s">
        <v>77</v>
      </c>
      <c r="C30" s="119">
        <v>0.55000000000000004</v>
      </c>
      <c r="D30" s="119" t="s">
        <v>161</v>
      </c>
      <c r="E30" s="119">
        <v>1.56</v>
      </c>
      <c r="F30" s="120" t="s">
        <v>274</v>
      </c>
      <c r="G30" s="121">
        <v>0.53</v>
      </c>
      <c r="H30" s="119" t="s">
        <v>152</v>
      </c>
      <c r="I30" s="122">
        <v>0.25</v>
      </c>
      <c r="J30" s="75"/>
      <c r="K30" s="75"/>
      <c r="L30" s="75"/>
      <c r="M30" s="75"/>
      <c r="N30" s="75"/>
    </row>
    <row r="31" spans="1:14" x14ac:dyDescent="0.3">
      <c r="A31" s="117" t="s">
        <v>26</v>
      </c>
      <c r="B31" s="118" t="s">
        <v>78</v>
      </c>
      <c r="C31" s="119">
        <v>0.56000000000000005</v>
      </c>
      <c r="D31" s="119" t="s">
        <v>161</v>
      </c>
      <c r="E31" s="119">
        <v>1.56</v>
      </c>
      <c r="F31" s="120" t="s">
        <v>274</v>
      </c>
      <c r="G31" s="121">
        <v>0.43</v>
      </c>
      <c r="H31" s="119" t="s">
        <v>278</v>
      </c>
      <c r="I31" s="122">
        <v>0.25</v>
      </c>
      <c r="J31" s="75"/>
      <c r="K31" s="75"/>
      <c r="L31" s="75"/>
      <c r="M31" s="75"/>
      <c r="N31" s="75"/>
    </row>
    <row r="32" spans="1:14" x14ac:dyDescent="0.3">
      <c r="A32" s="117" t="s">
        <v>27</v>
      </c>
      <c r="B32" s="118" t="s">
        <v>79</v>
      </c>
      <c r="C32" s="119">
        <v>0.48</v>
      </c>
      <c r="D32" s="119" t="s">
        <v>161</v>
      </c>
      <c r="E32" s="119">
        <v>1.3</v>
      </c>
      <c r="F32" s="120" t="s">
        <v>274</v>
      </c>
      <c r="G32" s="121">
        <v>0.6</v>
      </c>
      <c r="H32" s="119" t="s">
        <v>281</v>
      </c>
      <c r="I32" s="122">
        <v>0.43</v>
      </c>
      <c r="J32" s="75"/>
      <c r="K32" s="75"/>
      <c r="L32" s="75"/>
      <c r="M32" s="75"/>
      <c r="N32" s="75"/>
    </row>
    <row r="33" spans="1:14" x14ac:dyDescent="0.3">
      <c r="A33" s="117" t="s">
        <v>28</v>
      </c>
      <c r="B33" s="118" t="s">
        <v>80</v>
      </c>
      <c r="C33" s="119">
        <v>0.42</v>
      </c>
      <c r="D33" s="119" t="s">
        <v>161</v>
      </c>
      <c r="E33" s="119">
        <v>1.3</v>
      </c>
      <c r="F33" s="120" t="s">
        <v>274</v>
      </c>
      <c r="G33" s="121">
        <v>0.6</v>
      </c>
      <c r="H33" s="119" t="s">
        <v>281</v>
      </c>
      <c r="I33" s="122">
        <v>0.43</v>
      </c>
      <c r="J33" s="75"/>
      <c r="K33" s="75"/>
      <c r="L33" s="75"/>
      <c r="M33" s="75"/>
      <c r="N33" s="75"/>
    </row>
    <row r="34" spans="1:14" x14ac:dyDescent="0.3">
      <c r="A34" s="117" t="s">
        <v>81</v>
      </c>
      <c r="B34" s="118" t="s">
        <v>163</v>
      </c>
      <c r="C34" s="119">
        <v>0.42</v>
      </c>
      <c r="D34" s="119" t="s">
        <v>103</v>
      </c>
      <c r="E34" s="119">
        <v>1.3</v>
      </c>
      <c r="F34" s="120" t="s">
        <v>274</v>
      </c>
      <c r="G34" s="121">
        <v>0.6</v>
      </c>
      <c r="H34" s="118" t="s">
        <v>280</v>
      </c>
      <c r="I34" s="122">
        <v>0.43</v>
      </c>
      <c r="J34" s="75"/>
      <c r="K34" s="75"/>
      <c r="L34" s="75"/>
      <c r="M34" s="75"/>
      <c r="N34" s="75"/>
    </row>
    <row r="35" spans="1:14" x14ac:dyDescent="0.3">
      <c r="A35" s="117" t="s">
        <v>29</v>
      </c>
      <c r="B35" s="118" t="s">
        <v>82</v>
      </c>
      <c r="C35" s="119">
        <v>0.5</v>
      </c>
      <c r="D35" s="119" t="s">
        <v>161</v>
      </c>
      <c r="E35" s="119">
        <v>1.56</v>
      </c>
      <c r="F35" s="120" t="s">
        <v>274</v>
      </c>
      <c r="G35" s="121">
        <v>0.43</v>
      </c>
      <c r="H35" s="119" t="s">
        <v>278</v>
      </c>
      <c r="I35" s="122">
        <v>0.25</v>
      </c>
      <c r="J35" s="75"/>
      <c r="K35" s="75"/>
      <c r="L35" s="75"/>
      <c r="M35" s="75"/>
      <c r="N35" s="75"/>
    </row>
    <row r="36" spans="1:14" x14ac:dyDescent="0.3">
      <c r="A36" s="117" t="s">
        <v>102</v>
      </c>
      <c r="B36" s="118" t="s">
        <v>101</v>
      </c>
      <c r="C36" s="119">
        <v>0.55000000000000004</v>
      </c>
      <c r="D36" s="119" t="s">
        <v>161</v>
      </c>
      <c r="E36" s="119">
        <v>1.56</v>
      </c>
      <c r="F36" s="120" t="s">
        <v>274</v>
      </c>
      <c r="G36" s="121">
        <v>0.53</v>
      </c>
      <c r="H36" s="119" t="s">
        <v>275</v>
      </c>
      <c r="I36" s="122">
        <v>0.25</v>
      </c>
      <c r="J36" s="75"/>
      <c r="K36" s="75"/>
      <c r="L36" s="75"/>
      <c r="M36" s="75"/>
      <c r="N36" s="75"/>
    </row>
    <row r="37" spans="1:14" x14ac:dyDescent="0.3">
      <c r="A37" s="117" t="s">
        <v>30</v>
      </c>
      <c r="B37" s="118" t="s">
        <v>104</v>
      </c>
      <c r="C37" s="119">
        <v>0.52</v>
      </c>
      <c r="D37" s="119" t="s">
        <v>161</v>
      </c>
      <c r="E37" s="119">
        <v>1.56</v>
      </c>
      <c r="F37" s="120" t="s">
        <v>274</v>
      </c>
      <c r="G37" s="121">
        <v>0.53</v>
      </c>
      <c r="H37" s="119" t="s">
        <v>275</v>
      </c>
      <c r="I37" s="122">
        <v>0.25</v>
      </c>
      <c r="J37" s="75"/>
      <c r="K37" s="75"/>
      <c r="L37" s="75"/>
      <c r="M37" s="75"/>
      <c r="N37" s="75"/>
    </row>
    <row r="38" spans="1:14" x14ac:dyDescent="0.3">
      <c r="A38" s="117" t="s">
        <v>31</v>
      </c>
      <c r="B38" s="118" t="s">
        <v>105</v>
      </c>
      <c r="C38" s="119">
        <v>0.52</v>
      </c>
      <c r="D38" s="119" t="s">
        <v>161</v>
      </c>
      <c r="E38" s="119">
        <v>1.56</v>
      </c>
      <c r="F38" s="120" t="s">
        <v>274</v>
      </c>
      <c r="G38" s="121">
        <v>0.43</v>
      </c>
      <c r="H38" s="119" t="s">
        <v>278</v>
      </c>
      <c r="I38" s="122">
        <v>0.25</v>
      </c>
      <c r="J38" s="75"/>
      <c r="K38" s="75"/>
      <c r="L38" s="75"/>
      <c r="M38" s="75"/>
      <c r="N38" s="75"/>
    </row>
    <row r="39" spans="1:14" x14ac:dyDescent="0.3">
      <c r="A39" s="117" t="s">
        <v>107</v>
      </c>
      <c r="B39" s="118" t="s">
        <v>132</v>
      </c>
      <c r="C39" s="119">
        <v>0.313</v>
      </c>
      <c r="D39" s="119" t="s">
        <v>130</v>
      </c>
      <c r="E39" s="119">
        <v>1.56</v>
      </c>
      <c r="F39" s="120" t="s">
        <v>274</v>
      </c>
      <c r="G39" s="121">
        <v>0.6</v>
      </c>
      <c r="H39" s="119" t="s">
        <v>283</v>
      </c>
      <c r="I39" s="122">
        <v>1.03</v>
      </c>
      <c r="J39" s="75"/>
      <c r="K39" s="75"/>
      <c r="L39" s="75"/>
      <c r="M39" s="75"/>
      <c r="N39" s="75"/>
    </row>
    <row r="40" spans="1:14" x14ac:dyDescent="0.3">
      <c r="A40" s="117" t="s">
        <v>108</v>
      </c>
      <c r="B40" s="118" t="s">
        <v>132</v>
      </c>
      <c r="C40" s="119">
        <v>0.35199999999999998</v>
      </c>
      <c r="D40" s="119" t="s">
        <v>130</v>
      </c>
      <c r="E40" s="119">
        <v>1.56</v>
      </c>
      <c r="F40" s="120" t="s">
        <v>274</v>
      </c>
      <c r="G40" s="121">
        <v>0.6</v>
      </c>
      <c r="H40" s="119" t="s">
        <v>283</v>
      </c>
      <c r="I40" s="122">
        <v>1.03</v>
      </c>
      <c r="J40" s="75"/>
      <c r="K40" s="75"/>
      <c r="L40" s="75"/>
      <c r="M40" s="75"/>
      <c r="N40" s="75"/>
    </row>
    <row r="41" spans="1:14" x14ac:dyDescent="0.3">
      <c r="A41" s="117" t="s">
        <v>121</v>
      </c>
      <c r="B41" s="118" t="s">
        <v>132</v>
      </c>
      <c r="C41" s="119">
        <v>0.32200000000000001</v>
      </c>
      <c r="D41" s="119" t="s">
        <v>130</v>
      </c>
      <c r="E41" s="119">
        <v>1.56</v>
      </c>
      <c r="F41" s="120" t="s">
        <v>274</v>
      </c>
      <c r="G41" s="121">
        <v>0.6</v>
      </c>
      <c r="H41" s="119" t="s">
        <v>283</v>
      </c>
      <c r="I41" s="122">
        <v>1.03</v>
      </c>
      <c r="J41" s="75"/>
      <c r="K41" s="75"/>
      <c r="L41" s="75"/>
      <c r="M41" s="75"/>
      <c r="N41" s="75"/>
    </row>
    <row r="42" spans="1:14" x14ac:dyDescent="0.3">
      <c r="A42" s="117" t="s">
        <v>122</v>
      </c>
      <c r="B42" s="118" t="s">
        <v>132</v>
      </c>
      <c r="C42" s="119">
        <v>0.311</v>
      </c>
      <c r="D42" s="119" t="s">
        <v>130</v>
      </c>
      <c r="E42" s="119">
        <v>1.56</v>
      </c>
      <c r="F42" s="120" t="s">
        <v>274</v>
      </c>
      <c r="G42" s="121">
        <v>0.6</v>
      </c>
      <c r="H42" s="119" t="s">
        <v>283</v>
      </c>
      <c r="I42" s="122">
        <v>1.03</v>
      </c>
      <c r="J42" s="75"/>
      <c r="K42" s="75"/>
      <c r="L42" s="75"/>
      <c r="M42" s="75"/>
      <c r="N42" s="75"/>
    </row>
    <row r="43" spans="1:14" x14ac:dyDescent="0.3">
      <c r="A43" s="117" t="s">
        <v>109</v>
      </c>
      <c r="B43" s="118" t="s">
        <v>132</v>
      </c>
      <c r="C43" s="119">
        <v>0.33900000000000002</v>
      </c>
      <c r="D43" s="119" t="s">
        <v>130</v>
      </c>
      <c r="E43" s="119">
        <v>1.56</v>
      </c>
      <c r="F43" s="120" t="s">
        <v>274</v>
      </c>
      <c r="G43" s="121">
        <v>0.6</v>
      </c>
      <c r="H43" s="119" t="s">
        <v>283</v>
      </c>
      <c r="I43" s="122">
        <v>1.03</v>
      </c>
      <c r="J43" s="75"/>
      <c r="K43" s="75"/>
      <c r="L43" s="75"/>
      <c r="M43" s="75"/>
      <c r="N43" s="75"/>
    </row>
    <row r="44" spans="1:14" x14ac:dyDescent="0.3">
      <c r="A44" s="117" t="s">
        <v>123</v>
      </c>
      <c r="B44" s="118" t="s">
        <v>132</v>
      </c>
      <c r="C44" s="119">
        <v>0.33600000000000002</v>
      </c>
      <c r="D44" s="119" t="s">
        <v>130</v>
      </c>
      <c r="E44" s="119">
        <v>1.56</v>
      </c>
      <c r="F44" s="120" t="s">
        <v>274</v>
      </c>
      <c r="G44" s="121">
        <v>0.6</v>
      </c>
      <c r="H44" s="119" t="s">
        <v>283</v>
      </c>
      <c r="I44" s="122">
        <v>1.03</v>
      </c>
      <c r="J44" s="75"/>
      <c r="K44" s="75"/>
      <c r="L44" s="75"/>
      <c r="M44" s="75"/>
      <c r="N44" s="75"/>
    </row>
    <row r="45" spans="1:14" x14ac:dyDescent="0.3">
      <c r="A45" s="117" t="s">
        <v>110</v>
      </c>
      <c r="B45" s="118" t="s">
        <v>132</v>
      </c>
      <c r="C45" s="119">
        <v>0.32900000000000001</v>
      </c>
      <c r="D45" s="119" t="s">
        <v>130</v>
      </c>
      <c r="E45" s="119">
        <v>1.56</v>
      </c>
      <c r="F45" s="120" t="s">
        <v>274</v>
      </c>
      <c r="G45" s="121">
        <v>0.6</v>
      </c>
      <c r="H45" s="119" t="s">
        <v>283</v>
      </c>
      <c r="I45" s="122">
        <v>1.03</v>
      </c>
      <c r="J45" s="75"/>
      <c r="K45" s="75"/>
      <c r="L45" s="75"/>
      <c r="M45" s="75"/>
      <c r="N45" s="75"/>
    </row>
    <row r="46" spans="1:14" x14ac:dyDescent="0.3">
      <c r="A46" s="117" t="s">
        <v>124</v>
      </c>
      <c r="B46" s="118" t="s">
        <v>132</v>
      </c>
      <c r="C46" s="119">
        <v>0.34300000000000003</v>
      </c>
      <c r="D46" s="119" t="s">
        <v>130</v>
      </c>
      <c r="E46" s="119">
        <v>1.56</v>
      </c>
      <c r="F46" s="120" t="s">
        <v>274</v>
      </c>
      <c r="G46" s="121">
        <v>0.6</v>
      </c>
      <c r="H46" s="119" t="s">
        <v>283</v>
      </c>
      <c r="I46" s="122">
        <v>1.03</v>
      </c>
      <c r="J46" s="75"/>
      <c r="K46" s="75"/>
      <c r="L46" s="75"/>
      <c r="M46" s="75"/>
      <c r="N46" s="75"/>
    </row>
    <row r="47" spans="1:14" x14ac:dyDescent="0.3">
      <c r="A47" s="117" t="s">
        <v>125</v>
      </c>
      <c r="B47" s="118" t="s">
        <v>132</v>
      </c>
      <c r="C47" s="119">
        <v>0.32500000000000001</v>
      </c>
      <c r="D47" s="119" t="s">
        <v>130</v>
      </c>
      <c r="E47" s="119">
        <v>1.56</v>
      </c>
      <c r="F47" s="120" t="s">
        <v>274</v>
      </c>
      <c r="G47" s="121">
        <v>0.6</v>
      </c>
      <c r="H47" s="119" t="s">
        <v>283</v>
      </c>
      <c r="I47" s="122">
        <v>1.03</v>
      </c>
      <c r="J47" s="75"/>
      <c r="K47" s="75"/>
      <c r="L47" s="75"/>
      <c r="M47" s="75"/>
      <c r="N47" s="75"/>
    </row>
    <row r="48" spans="1:14" x14ac:dyDescent="0.3">
      <c r="A48" s="117" t="s">
        <v>126</v>
      </c>
      <c r="B48" s="118" t="s">
        <v>132</v>
      </c>
      <c r="C48" s="119">
        <v>0.32</v>
      </c>
      <c r="D48" s="119" t="s">
        <v>130</v>
      </c>
      <c r="E48" s="119">
        <v>1.56</v>
      </c>
      <c r="F48" s="120" t="s">
        <v>274</v>
      </c>
      <c r="G48" s="121">
        <v>0.6</v>
      </c>
      <c r="H48" s="119" t="s">
        <v>283</v>
      </c>
      <c r="I48" s="122">
        <v>1.03</v>
      </c>
      <c r="J48" s="75"/>
      <c r="K48" s="75"/>
      <c r="L48" s="75"/>
      <c r="M48" s="75"/>
      <c r="N48" s="75"/>
    </row>
    <row r="49" spans="1:14" x14ac:dyDescent="0.3">
      <c r="A49" s="117" t="s">
        <v>111</v>
      </c>
      <c r="B49" s="118" t="s">
        <v>132</v>
      </c>
      <c r="C49" s="119">
        <v>0.28199999999999997</v>
      </c>
      <c r="D49" s="119" t="s">
        <v>130</v>
      </c>
      <c r="E49" s="119">
        <v>1.56</v>
      </c>
      <c r="F49" s="120" t="s">
        <v>274</v>
      </c>
      <c r="G49" s="121">
        <v>0.6</v>
      </c>
      <c r="H49" s="119" t="s">
        <v>283</v>
      </c>
      <c r="I49" s="122">
        <v>1.03</v>
      </c>
      <c r="J49" s="75"/>
      <c r="K49" s="75"/>
      <c r="L49" s="75"/>
      <c r="M49" s="75"/>
      <c r="N49" s="75"/>
    </row>
    <row r="50" spans="1:14" x14ac:dyDescent="0.3">
      <c r="A50" s="117" t="s">
        <v>127</v>
      </c>
      <c r="B50" s="118" t="s">
        <v>132</v>
      </c>
      <c r="C50" s="119">
        <v>0.32800000000000001</v>
      </c>
      <c r="D50" s="119" t="s">
        <v>130</v>
      </c>
      <c r="E50" s="119">
        <v>1.56</v>
      </c>
      <c r="F50" s="120" t="s">
        <v>274</v>
      </c>
      <c r="G50" s="121">
        <v>0.6</v>
      </c>
      <c r="H50" s="119" t="s">
        <v>283</v>
      </c>
      <c r="I50" s="122">
        <v>1.03</v>
      </c>
      <c r="J50" s="75"/>
      <c r="K50" s="75"/>
      <c r="L50" s="75"/>
      <c r="M50" s="75"/>
      <c r="N50" s="75"/>
    </row>
    <row r="51" spans="1:14" x14ac:dyDescent="0.3">
      <c r="A51" s="117" t="s">
        <v>112</v>
      </c>
      <c r="B51" s="118" t="s">
        <v>132</v>
      </c>
      <c r="C51" s="119">
        <v>0.32600000000000001</v>
      </c>
      <c r="D51" s="119" t="s">
        <v>130</v>
      </c>
      <c r="E51" s="119">
        <v>1.56</v>
      </c>
      <c r="F51" s="120" t="s">
        <v>274</v>
      </c>
      <c r="G51" s="121">
        <v>0.6</v>
      </c>
      <c r="H51" s="119" t="s">
        <v>283</v>
      </c>
      <c r="I51" s="122">
        <v>1.03</v>
      </c>
      <c r="J51" s="75"/>
      <c r="K51" s="75"/>
      <c r="L51" s="75"/>
      <c r="M51" s="75"/>
      <c r="N51" s="75"/>
    </row>
    <row r="52" spans="1:14" x14ac:dyDescent="0.3">
      <c r="A52" s="117" t="s">
        <v>113</v>
      </c>
      <c r="B52" s="118" t="s">
        <v>132</v>
      </c>
      <c r="C52" s="119">
        <v>0.35899999999999999</v>
      </c>
      <c r="D52" s="119" t="s">
        <v>130</v>
      </c>
      <c r="E52" s="119">
        <v>1.56</v>
      </c>
      <c r="F52" s="120" t="s">
        <v>274</v>
      </c>
      <c r="G52" s="121">
        <v>0.6</v>
      </c>
      <c r="H52" s="119" t="s">
        <v>283</v>
      </c>
      <c r="I52" s="122">
        <v>1.03</v>
      </c>
      <c r="J52" s="75"/>
      <c r="K52" s="75"/>
      <c r="L52" s="75"/>
      <c r="M52" s="75"/>
      <c r="N52" s="75"/>
    </row>
    <row r="53" spans="1:14" x14ac:dyDescent="0.3">
      <c r="A53" s="117" t="s">
        <v>114</v>
      </c>
      <c r="B53" s="118" t="s">
        <v>132</v>
      </c>
      <c r="C53" s="119">
        <v>0.34599999999999997</v>
      </c>
      <c r="D53" s="119" t="s">
        <v>130</v>
      </c>
      <c r="E53" s="119">
        <v>1.56</v>
      </c>
      <c r="F53" s="120" t="s">
        <v>274</v>
      </c>
      <c r="G53" s="121">
        <v>0.6</v>
      </c>
      <c r="H53" s="119" t="s">
        <v>283</v>
      </c>
      <c r="I53" s="122">
        <v>1.03</v>
      </c>
      <c r="J53" s="75"/>
      <c r="K53" s="75"/>
      <c r="L53" s="75"/>
      <c r="M53" s="75"/>
      <c r="N53" s="75"/>
    </row>
    <row r="54" spans="1:14" x14ac:dyDescent="0.3">
      <c r="A54" s="117" t="s">
        <v>115</v>
      </c>
      <c r="B54" s="118" t="s">
        <v>132</v>
      </c>
      <c r="C54" s="119">
        <v>0.32600000000000001</v>
      </c>
      <c r="D54" s="119" t="s">
        <v>130</v>
      </c>
      <c r="E54" s="119">
        <v>1.56</v>
      </c>
      <c r="F54" s="120" t="s">
        <v>274</v>
      </c>
      <c r="G54" s="121">
        <v>0.6</v>
      </c>
      <c r="H54" s="119" t="s">
        <v>283</v>
      </c>
      <c r="I54" s="122">
        <v>1.03</v>
      </c>
      <c r="J54" s="75"/>
      <c r="K54" s="75"/>
      <c r="L54" s="75"/>
      <c r="M54" s="75"/>
      <c r="N54" s="75"/>
    </row>
    <row r="55" spans="1:14" x14ac:dyDescent="0.3">
      <c r="A55" s="117" t="s">
        <v>116</v>
      </c>
      <c r="B55" s="118" t="s">
        <v>132</v>
      </c>
      <c r="C55" s="119">
        <v>0.30499999999999999</v>
      </c>
      <c r="D55" s="119" t="s">
        <v>130</v>
      </c>
      <c r="E55" s="119">
        <v>1.56</v>
      </c>
      <c r="F55" s="120" t="s">
        <v>274</v>
      </c>
      <c r="G55" s="121">
        <v>0.6</v>
      </c>
      <c r="H55" s="119" t="s">
        <v>283</v>
      </c>
      <c r="I55" s="122">
        <v>1.03</v>
      </c>
      <c r="J55" s="75"/>
      <c r="K55" s="75"/>
      <c r="L55" s="75"/>
      <c r="M55" s="75"/>
      <c r="N55" s="75"/>
    </row>
    <row r="56" spans="1:14" x14ac:dyDescent="0.3">
      <c r="A56" s="117" t="s">
        <v>128</v>
      </c>
      <c r="B56" s="118" t="s">
        <v>132</v>
      </c>
      <c r="C56" s="119">
        <v>0.32300000000000001</v>
      </c>
      <c r="D56" s="119" t="s">
        <v>130</v>
      </c>
      <c r="E56" s="119">
        <v>1.56</v>
      </c>
      <c r="F56" s="120" t="s">
        <v>274</v>
      </c>
      <c r="G56" s="121">
        <v>0.6</v>
      </c>
      <c r="H56" s="119" t="s">
        <v>283</v>
      </c>
      <c r="I56" s="122">
        <v>1.03</v>
      </c>
      <c r="J56" s="75"/>
      <c r="K56" s="75"/>
      <c r="L56" s="75"/>
      <c r="M56" s="75"/>
      <c r="N56" s="75"/>
    </row>
    <row r="57" spans="1:14" x14ac:dyDescent="0.3">
      <c r="A57" s="117" t="s">
        <v>129</v>
      </c>
      <c r="B57" s="118" t="s">
        <v>132</v>
      </c>
      <c r="C57" s="119">
        <v>0.36699999999999999</v>
      </c>
      <c r="D57" s="119" t="s">
        <v>130</v>
      </c>
      <c r="E57" s="119">
        <v>1.56</v>
      </c>
      <c r="F57" s="120" t="s">
        <v>274</v>
      </c>
      <c r="G57" s="121">
        <v>0.6</v>
      </c>
      <c r="H57" s="119" t="s">
        <v>283</v>
      </c>
      <c r="I57" s="122">
        <v>1.03</v>
      </c>
      <c r="J57" s="75"/>
      <c r="K57" s="75"/>
      <c r="L57" s="75"/>
      <c r="M57" s="75"/>
      <c r="N57" s="75"/>
    </row>
    <row r="58" spans="1:14" x14ac:dyDescent="0.3">
      <c r="A58" s="117" t="s">
        <v>117</v>
      </c>
      <c r="B58" s="118" t="s">
        <v>132</v>
      </c>
      <c r="C58" s="119">
        <v>0.36</v>
      </c>
      <c r="D58" s="119" t="s">
        <v>130</v>
      </c>
      <c r="E58" s="119">
        <v>1.56</v>
      </c>
      <c r="F58" s="120" t="s">
        <v>274</v>
      </c>
      <c r="G58" s="121">
        <v>0.6</v>
      </c>
      <c r="H58" s="119" t="s">
        <v>283</v>
      </c>
      <c r="I58" s="122">
        <v>1.03</v>
      </c>
      <c r="J58" s="75"/>
      <c r="K58" s="75"/>
      <c r="L58" s="75"/>
      <c r="M58" s="75"/>
      <c r="N58" s="75"/>
    </row>
    <row r="59" spans="1:14" x14ac:dyDescent="0.3">
      <c r="A59" s="117" t="s">
        <v>118</v>
      </c>
      <c r="B59" s="118" t="s">
        <v>132</v>
      </c>
      <c r="C59" s="119">
        <v>0.36799999999999999</v>
      </c>
      <c r="D59" s="119" t="s">
        <v>130</v>
      </c>
      <c r="E59" s="119">
        <v>1.56</v>
      </c>
      <c r="F59" s="120" t="s">
        <v>274</v>
      </c>
      <c r="G59" s="121">
        <v>0.6</v>
      </c>
      <c r="H59" s="119" t="s">
        <v>283</v>
      </c>
      <c r="I59" s="122">
        <v>1.03</v>
      </c>
      <c r="J59" s="75"/>
      <c r="K59" s="75"/>
      <c r="L59" s="75"/>
      <c r="M59" s="75"/>
      <c r="N59" s="75"/>
    </row>
    <row r="60" spans="1:14" x14ac:dyDescent="0.3">
      <c r="A60" s="117" t="s">
        <v>119</v>
      </c>
      <c r="B60" s="118" t="s">
        <v>132</v>
      </c>
      <c r="C60" s="119">
        <v>0.30599999999999999</v>
      </c>
      <c r="D60" s="119" t="s">
        <v>130</v>
      </c>
      <c r="E60" s="119">
        <v>1.56</v>
      </c>
      <c r="F60" s="120" t="s">
        <v>274</v>
      </c>
      <c r="G60" s="121">
        <v>0.6</v>
      </c>
      <c r="H60" s="119" t="s">
        <v>283</v>
      </c>
      <c r="I60" s="122">
        <v>1.03</v>
      </c>
      <c r="J60" s="75"/>
      <c r="K60" s="75"/>
      <c r="L60" s="75"/>
      <c r="M60" s="75"/>
      <c r="N60" s="75"/>
    </row>
    <row r="61" spans="1:14" x14ac:dyDescent="0.3">
      <c r="A61" s="117" t="s">
        <v>120</v>
      </c>
      <c r="B61" s="118" t="s">
        <v>132</v>
      </c>
      <c r="C61" s="119">
        <v>0.313</v>
      </c>
      <c r="D61" s="119" t="s">
        <v>130</v>
      </c>
      <c r="E61" s="119">
        <v>1.56</v>
      </c>
      <c r="F61" s="120" t="s">
        <v>274</v>
      </c>
      <c r="G61" s="121">
        <v>0.6</v>
      </c>
      <c r="H61" s="119" t="s">
        <v>283</v>
      </c>
      <c r="I61" s="122">
        <v>1.03</v>
      </c>
      <c r="J61" s="75"/>
      <c r="K61" s="75"/>
      <c r="L61" s="75"/>
      <c r="M61" s="75"/>
      <c r="N61" s="75"/>
    </row>
    <row r="62" spans="1:14" x14ac:dyDescent="0.3">
      <c r="A62" s="117" t="s">
        <v>32</v>
      </c>
      <c r="B62" s="118" t="s">
        <v>133</v>
      </c>
      <c r="C62" s="119">
        <v>0.37</v>
      </c>
      <c r="D62" s="119" t="s">
        <v>161</v>
      </c>
      <c r="E62" s="119">
        <v>1.56</v>
      </c>
      <c r="F62" s="120" t="s">
        <v>274</v>
      </c>
      <c r="G62" s="121">
        <v>0.6</v>
      </c>
      <c r="H62" s="119" t="s">
        <v>283</v>
      </c>
      <c r="I62" s="122">
        <v>1.03</v>
      </c>
      <c r="J62" s="75"/>
      <c r="K62" s="75"/>
      <c r="L62" s="75"/>
      <c r="M62" s="75"/>
      <c r="N62" s="75"/>
    </row>
    <row r="63" spans="1:14" x14ac:dyDescent="0.3">
      <c r="A63" s="117" t="s">
        <v>90</v>
      </c>
      <c r="B63" s="118" t="s">
        <v>83</v>
      </c>
      <c r="C63" s="119">
        <v>0.45</v>
      </c>
      <c r="D63" s="119" t="s">
        <v>161</v>
      </c>
      <c r="E63" s="119">
        <v>1.3</v>
      </c>
      <c r="F63" s="120" t="s">
        <v>274</v>
      </c>
      <c r="G63" s="121">
        <v>0.45</v>
      </c>
      <c r="H63" s="119" t="s">
        <v>276</v>
      </c>
      <c r="I63" s="122">
        <v>0.43</v>
      </c>
      <c r="J63" s="75"/>
      <c r="K63" s="75"/>
      <c r="L63" s="75"/>
      <c r="M63" s="75"/>
      <c r="N63" s="75"/>
    </row>
    <row r="64" spans="1:14" x14ac:dyDescent="0.3">
      <c r="A64" s="117" t="s">
        <v>33</v>
      </c>
      <c r="B64" s="118" t="s">
        <v>134</v>
      </c>
      <c r="C64" s="119">
        <v>0.39</v>
      </c>
      <c r="D64" s="119" t="s">
        <v>161</v>
      </c>
      <c r="E64" s="119">
        <v>1.3</v>
      </c>
      <c r="F64" s="120" t="s">
        <v>274</v>
      </c>
      <c r="G64" s="121">
        <v>0.45</v>
      </c>
      <c r="H64" s="119" t="s">
        <v>276</v>
      </c>
      <c r="I64" s="122">
        <v>0.43</v>
      </c>
      <c r="J64" s="75"/>
      <c r="K64" s="75"/>
      <c r="L64" s="75"/>
      <c r="M64" s="75"/>
      <c r="N64" s="75"/>
    </row>
    <row r="65" spans="1:14" x14ac:dyDescent="0.3">
      <c r="A65" s="117" t="s">
        <v>34</v>
      </c>
      <c r="B65" s="118" t="s">
        <v>135</v>
      </c>
      <c r="C65" s="119">
        <v>0.44</v>
      </c>
      <c r="D65" s="119" t="s">
        <v>161</v>
      </c>
      <c r="E65" s="119">
        <v>1.3</v>
      </c>
      <c r="F65" s="120" t="s">
        <v>274</v>
      </c>
      <c r="G65" s="121">
        <v>0.45</v>
      </c>
      <c r="H65" s="119" t="s">
        <v>276</v>
      </c>
      <c r="I65" s="122">
        <v>0.43</v>
      </c>
      <c r="J65" s="75"/>
      <c r="K65" s="75"/>
      <c r="L65" s="75"/>
      <c r="M65" s="75"/>
      <c r="N65" s="75"/>
    </row>
    <row r="66" spans="1:14" x14ac:dyDescent="0.3">
      <c r="A66" s="117" t="s">
        <v>35</v>
      </c>
      <c r="B66" s="118" t="s">
        <v>84</v>
      </c>
      <c r="C66" s="119">
        <v>0.46</v>
      </c>
      <c r="D66" s="119" t="s">
        <v>161</v>
      </c>
      <c r="E66" s="119">
        <v>1.3</v>
      </c>
      <c r="F66" s="120" t="s">
        <v>274</v>
      </c>
      <c r="G66" s="121">
        <v>0.45</v>
      </c>
      <c r="H66" s="119" t="s">
        <v>276</v>
      </c>
      <c r="I66" s="122">
        <v>0.43</v>
      </c>
      <c r="J66" s="75"/>
      <c r="K66" s="75"/>
      <c r="L66" s="75"/>
      <c r="M66" s="75"/>
      <c r="N66" s="75"/>
    </row>
    <row r="67" spans="1:14" x14ac:dyDescent="0.3">
      <c r="A67" s="117" t="s">
        <v>36</v>
      </c>
      <c r="B67" s="118" t="s">
        <v>85</v>
      </c>
      <c r="C67" s="119">
        <v>0.46</v>
      </c>
      <c r="D67" s="119" t="s">
        <v>161</v>
      </c>
      <c r="E67" s="119">
        <v>1.3</v>
      </c>
      <c r="F67" s="120" t="s">
        <v>274</v>
      </c>
      <c r="G67" s="121">
        <v>0.45</v>
      </c>
      <c r="H67" s="119" t="s">
        <v>152</v>
      </c>
      <c r="I67" s="122">
        <v>0.59</v>
      </c>
      <c r="J67" s="75"/>
      <c r="K67" s="75"/>
      <c r="L67" s="75"/>
      <c r="M67" s="75"/>
      <c r="N67" s="75"/>
    </row>
    <row r="68" spans="1:14" x14ac:dyDescent="0.3">
      <c r="A68" s="117" t="s">
        <v>37</v>
      </c>
      <c r="B68" s="118" t="s">
        <v>136</v>
      </c>
      <c r="C68" s="119">
        <v>0.44</v>
      </c>
      <c r="D68" s="119" t="s">
        <v>161</v>
      </c>
      <c r="E68" s="119">
        <v>1.3</v>
      </c>
      <c r="F68" s="120" t="s">
        <v>274</v>
      </c>
      <c r="G68" s="121">
        <v>0.45</v>
      </c>
      <c r="H68" s="119" t="s">
        <v>276</v>
      </c>
      <c r="I68" s="122">
        <v>0.43</v>
      </c>
      <c r="J68" s="75"/>
      <c r="K68" s="75"/>
      <c r="L68" s="75"/>
      <c r="M68" s="75"/>
      <c r="N68" s="75"/>
    </row>
    <row r="69" spans="1:14" x14ac:dyDescent="0.3">
      <c r="A69" s="117" t="s">
        <v>38</v>
      </c>
      <c r="B69" s="118" t="s">
        <v>86</v>
      </c>
      <c r="C69" s="119">
        <v>0.46</v>
      </c>
      <c r="D69" s="119" t="s">
        <v>161</v>
      </c>
      <c r="E69" s="119">
        <v>1.3</v>
      </c>
      <c r="F69" s="120" t="s">
        <v>274</v>
      </c>
      <c r="G69" s="121">
        <v>0.45</v>
      </c>
      <c r="H69" s="119" t="s">
        <v>276</v>
      </c>
      <c r="I69" s="122">
        <v>0.43</v>
      </c>
      <c r="J69" s="75"/>
      <c r="K69" s="75"/>
      <c r="L69" s="75"/>
      <c r="M69" s="75"/>
      <c r="N69" s="75"/>
    </row>
    <row r="70" spans="1:14" x14ac:dyDescent="0.3">
      <c r="A70" s="117" t="s">
        <v>39</v>
      </c>
      <c r="B70" s="118" t="s">
        <v>137</v>
      </c>
      <c r="C70" s="119">
        <v>0.48</v>
      </c>
      <c r="D70" s="119" t="s">
        <v>161</v>
      </c>
      <c r="E70" s="119">
        <v>2.4</v>
      </c>
      <c r="F70" s="119" t="s">
        <v>284</v>
      </c>
      <c r="G70" s="121">
        <v>0.45</v>
      </c>
      <c r="H70" s="119" t="s">
        <v>276</v>
      </c>
      <c r="I70" s="122">
        <v>0.43</v>
      </c>
      <c r="J70" s="75"/>
      <c r="K70" s="75"/>
      <c r="L70" s="75"/>
      <c r="M70" s="75"/>
      <c r="N70" s="75"/>
    </row>
    <row r="71" spans="1:14" x14ac:dyDescent="0.3">
      <c r="A71" s="117" t="s">
        <v>40</v>
      </c>
      <c r="B71" s="118" t="s">
        <v>87</v>
      </c>
      <c r="C71" s="119">
        <v>0.46</v>
      </c>
      <c r="D71" s="119" t="s">
        <v>150</v>
      </c>
      <c r="E71" s="119">
        <v>1.3</v>
      </c>
      <c r="F71" s="120" t="s">
        <v>274</v>
      </c>
      <c r="G71" s="121">
        <v>0.45</v>
      </c>
      <c r="H71" s="119" t="s">
        <v>276</v>
      </c>
      <c r="I71" s="122">
        <v>0.43</v>
      </c>
      <c r="J71" s="75"/>
      <c r="K71" s="75"/>
      <c r="L71" s="75"/>
      <c r="M71" s="75"/>
      <c r="N71" s="75"/>
    </row>
    <row r="72" spans="1:14" x14ac:dyDescent="0.3">
      <c r="A72" s="117" t="s">
        <v>41</v>
      </c>
      <c r="B72" s="118" t="s">
        <v>88</v>
      </c>
      <c r="C72" s="119">
        <v>0.44</v>
      </c>
      <c r="D72" s="119" t="s">
        <v>161</v>
      </c>
      <c r="E72" s="119">
        <v>1.3</v>
      </c>
      <c r="F72" s="120" t="s">
        <v>274</v>
      </c>
      <c r="G72" s="121">
        <v>0.45</v>
      </c>
      <c r="H72" s="119" t="s">
        <v>276</v>
      </c>
      <c r="I72" s="122">
        <v>0.43</v>
      </c>
      <c r="J72" s="75"/>
      <c r="K72" s="75"/>
      <c r="L72" s="75"/>
      <c r="M72" s="75"/>
      <c r="N72" s="75"/>
    </row>
    <row r="73" spans="1:14" x14ac:dyDescent="0.3">
      <c r="A73" s="117" t="s">
        <v>138</v>
      </c>
      <c r="B73" s="118" t="s">
        <v>140</v>
      </c>
      <c r="C73" s="119">
        <v>0.46</v>
      </c>
      <c r="D73" s="119" t="s">
        <v>151</v>
      </c>
      <c r="E73" s="119">
        <v>1.3</v>
      </c>
      <c r="F73" s="120" t="s">
        <v>274</v>
      </c>
      <c r="G73" s="121">
        <v>0.45</v>
      </c>
      <c r="H73" s="119" t="s">
        <v>276</v>
      </c>
      <c r="I73" s="122">
        <v>0.43</v>
      </c>
      <c r="J73" s="75"/>
      <c r="K73" s="75"/>
      <c r="L73" s="75"/>
      <c r="M73" s="75"/>
      <c r="N73" s="75"/>
    </row>
    <row r="74" spans="1:14" x14ac:dyDescent="0.3">
      <c r="A74" s="117" t="s">
        <v>42</v>
      </c>
      <c r="B74" s="118" t="s">
        <v>139</v>
      </c>
      <c r="C74" s="119">
        <v>0.34</v>
      </c>
      <c r="D74" s="119" t="s">
        <v>161</v>
      </c>
      <c r="E74" s="119">
        <v>1.3</v>
      </c>
      <c r="F74" s="120" t="s">
        <v>274</v>
      </c>
      <c r="G74" s="121">
        <v>0.45</v>
      </c>
      <c r="H74" s="119" t="s">
        <v>276</v>
      </c>
      <c r="I74" s="122">
        <v>0.43</v>
      </c>
      <c r="J74" s="75"/>
      <c r="K74" s="75"/>
      <c r="L74" s="75"/>
      <c r="M74" s="75"/>
      <c r="N74" s="75"/>
    </row>
    <row r="75" spans="1:14" x14ac:dyDescent="0.3">
      <c r="A75" s="117" t="s">
        <v>43</v>
      </c>
      <c r="B75" s="118" t="s">
        <v>162</v>
      </c>
      <c r="C75" s="119">
        <v>0.5</v>
      </c>
      <c r="D75" s="119" t="s">
        <v>161</v>
      </c>
      <c r="E75" s="119">
        <v>1.56</v>
      </c>
      <c r="F75" s="120" t="s">
        <v>274</v>
      </c>
      <c r="G75" s="121">
        <v>0.53</v>
      </c>
      <c r="H75" s="119" t="s">
        <v>275</v>
      </c>
      <c r="I75" s="122">
        <v>0.25</v>
      </c>
      <c r="J75" s="75"/>
      <c r="K75" s="75"/>
      <c r="L75" s="75"/>
      <c r="M75" s="75"/>
      <c r="N75" s="75"/>
    </row>
    <row r="76" spans="1:14" x14ac:dyDescent="0.3">
      <c r="A76" s="117" t="s">
        <v>44</v>
      </c>
      <c r="B76" s="118" t="s">
        <v>89</v>
      </c>
      <c r="C76" s="119">
        <v>0.57999999999999996</v>
      </c>
      <c r="D76" s="119" t="s">
        <v>161</v>
      </c>
      <c r="E76" s="119">
        <v>1.56</v>
      </c>
      <c r="F76" s="120" t="s">
        <v>274</v>
      </c>
      <c r="G76" s="121">
        <v>0.3</v>
      </c>
      <c r="H76" s="119" t="s">
        <v>277</v>
      </c>
      <c r="I76" s="122">
        <v>0.25</v>
      </c>
      <c r="J76" s="75"/>
      <c r="K76" s="75"/>
      <c r="L76" s="75"/>
      <c r="M76" s="75"/>
      <c r="N76" s="75"/>
    </row>
    <row r="77" spans="1:14" x14ac:dyDescent="0.3">
      <c r="A77" s="117" t="s">
        <v>47</v>
      </c>
      <c r="B77" s="118" t="s">
        <v>141</v>
      </c>
      <c r="C77" s="119">
        <v>0.37</v>
      </c>
      <c r="D77" s="119" t="s">
        <v>161</v>
      </c>
      <c r="E77" s="119">
        <v>1.3</v>
      </c>
      <c r="F77" s="120" t="s">
        <v>274</v>
      </c>
      <c r="G77" s="121">
        <v>0.55000000000000004</v>
      </c>
      <c r="H77" s="119" t="s">
        <v>152</v>
      </c>
      <c r="I77" s="122">
        <v>0.43</v>
      </c>
      <c r="J77" s="75"/>
      <c r="K77" s="75"/>
      <c r="L77" s="75"/>
      <c r="M77" s="75"/>
      <c r="N77" s="75"/>
    </row>
    <row r="78" spans="1:14" x14ac:dyDescent="0.3">
      <c r="A78" s="117" t="s">
        <v>45</v>
      </c>
      <c r="B78" s="118" t="s">
        <v>96</v>
      </c>
      <c r="C78" s="119">
        <v>0.37</v>
      </c>
      <c r="D78" s="119" t="s">
        <v>161</v>
      </c>
      <c r="E78" s="119">
        <v>1.3</v>
      </c>
      <c r="F78" s="120" t="s">
        <v>274</v>
      </c>
      <c r="G78" s="121">
        <v>0.55000000000000004</v>
      </c>
      <c r="H78" s="119" t="s">
        <v>152</v>
      </c>
      <c r="I78" s="122">
        <v>0.43</v>
      </c>
      <c r="J78" s="75"/>
      <c r="K78" s="75"/>
      <c r="L78" s="75"/>
      <c r="M78" s="75"/>
      <c r="N78" s="75"/>
    </row>
    <row r="79" spans="1:14" x14ac:dyDescent="0.3">
      <c r="A79" s="117" t="s">
        <v>46</v>
      </c>
      <c r="B79" s="118" t="s">
        <v>95</v>
      </c>
      <c r="C79" s="119">
        <v>0.38</v>
      </c>
      <c r="D79" s="119" t="s">
        <v>161</v>
      </c>
      <c r="E79" s="119">
        <v>1.3</v>
      </c>
      <c r="F79" s="120" t="s">
        <v>274</v>
      </c>
      <c r="G79" s="121">
        <v>0.55000000000000004</v>
      </c>
      <c r="H79" s="119" t="s">
        <v>153</v>
      </c>
      <c r="I79" s="122">
        <v>0.43</v>
      </c>
      <c r="J79" s="75"/>
      <c r="K79" s="75"/>
      <c r="L79" s="75"/>
      <c r="M79" s="75"/>
      <c r="N79" s="75"/>
    </row>
    <row r="80" spans="1:14" x14ac:dyDescent="0.3">
      <c r="A80" s="117" t="s">
        <v>48</v>
      </c>
      <c r="B80" s="118" t="s">
        <v>94</v>
      </c>
      <c r="C80" s="119">
        <v>0.36</v>
      </c>
      <c r="D80" s="119" t="s">
        <v>161</v>
      </c>
      <c r="E80" s="119">
        <v>1.3</v>
      </c>
      <c r="F80" s="120" t="s">
        <v>274</v>
      </c>
      <c r="G80" s="121">
        <v>0.55000000000000004</v>
      </c>
      <c r="H80" s="119" t="s">
        <v>153</v>
      </c>
      <c r="I80" s="122">
        <v>0.43</v>
      </c>
      <c r="J80" s="75"/>
      <c r="K80" s="75"/>
      <c r="L80" s="75"/>
      <c r="M80" s="75"/>
      <c r="N80" s="75"/>
    </row>
    <row r="81" spans="1:14" x14ac:dyDescent="0.3">
      <c r="A81" s="117" t="s">
        <v>49</v>
      </c>
      <c r="B81" s="118" t="s">
        <v>142</v>
      </c>
      <c r="C81" s="119">
        <v>0.37</v>
      </c>
      <c r="D81" s="119" t="s">
        <v>161</v>
      </c>
      <c r="E81" s="119">
        <v>1.56</v>
      </c>
      <c r="F81" s="120" t="s">
        <v>274</v>
      </c>
      <c r="G81" s="121">
        <v>0.43</v>
      </c>
      <c r="H81" s="119" t="s">
        <v>278</v>
      </c>
      <c r="I81" s="122">
        <v>0.25</v>
      </c>
      <c r="J81" s="75"/>
      <c r="K81" s="75"/>
      <c r="L81" s="75"/>
      <c r="M81" s="75"/>
      <c r="N81" s="75"/>
    </row>
    <row r="82" spans="1:14" x14ac:dyDescent="0.3">
      <c r="A82" s="117" t="s">
        <v>158</v>
      </c>
      <c r="B82" s="118" t="s">
        <v>159</v>
      </c>
      <c r="C82" s="119">
        <v>0.35</v>
      </c>
      <c r="D82" s="119" t="s">
        <v>160</v>
      </c>
      <c r="E82" s="119">
        <v>1.3</v>
      </c>
      <c r="F82" s="120" t="s">
        <v>274</v>
      </c>
      <c r="G82" s="121">
        <v>0.55000000000000004</v>
      </c>
      <c r="H82" s="119" t="s">
        <v>153</v>
      </c>
      <c r="I82" s="122">
        <v>0.43</v>
      </c>
      <c r="J82" s="75"/>
      <c r="K82" s="75"/>
      <c r="L82" s="75"/>
      <c r="M82" s="75"/>
      <c r="N82" s="75"/>
    </row>
    <row r="83" spans="1:14" x14ac:dyDescent="0.3">
      <c r="A83" s="117" t="s">
        <v>156</v>
      </c>
      <c r="B83" s="118" t="s">
        <v>157</v>
      </c>
      <c r="C83" s="119">
        <v>0.34</v>
      </c>
      <c r="D83" s="119" t="s">
        <v>161</v>
      </c>
      <c r="E83" s="119">
        <v>1.3</v>
      </c>
      <c r="F83" s="120" t="s">
        <v>274</v>
      </c>
      <c r="G83" s="121">
        <v>0.55000000000000004</v>
      </c>
      <c r="H83" s="119" t="s">
        <v>153</v>
      </c>
      <c r="I83" s="122">
        <v>0.43</v>
      </c>
      <c r="J83" s="75"/>
      <c r="K83" s="75"/>
      <c r="L83" s="75"/>
      <c r="M83" s="75"/>
      <c r="N83" s="75"/>
    </row>
    <row r="84" spans="1:14" x14ac:dyDescent="0.3">
      <c r="A84" s="117" t="s">
        <v>92</v>
      </c>
      <c r="B84" s="118" t="s">
        <v>93</v>
      </c>
      <c r="C84" s="119">
        <v>0.31</v>
      </c>
      <c r="D84" s="119" t="s">
        <v>161</v>
      </c>
      <c r="E84" s="119">
        <v>1.3</v>
      </c>
      <c r="F84" s="120" t="s">
        <v>274</v>
      </c>
      <c r="G84" s="121">
        <v>0.55000000000000004</v>
      </c>
      <c r="H84" s="119" t="s">
        <v>153</v>
      </c>
      <c r="I84" s="122">
        <v>0.43</v>
      </c>
      <c r="J84" s="75"/>
      <c r="K84" s="75"/>
      <c r="L84" s="75"/>
      <c r="M84" s="75"/>
      <c r="N84" s="75"/>
    </row>
    <row r="85" spans="1:14" x14ac:dyDescent="0.3">
      <c r="A85" s="117" t="s">
        <v>50</v>
      </c>
      <c r="B85" s="118" t="s">
        <v>143</v>
      </c>
      <c r="C85" s="119">
        <v>0.43</v>
      </c>
      <c r="D85" s="119" t="s">
        <v>161</v>
      </c>
      <c r="E85" s="119">
        <v>1.56</v>
      </c>
      <c r="F85" s="120" t="s">
        <v>274</v>
      </c>
      <c r="G85" s="121">
        <v>0.53</v>
      </c>
      <c r="H85" s="119" t="s">
        <v>275</v>
      </c>
      <c r="I85" s="122">
        <v>0.25</v>
      </c>
      <c r="J85" s="75"/>
      <c r="K85" s="75"/>
      <c r="L85" s="75"/>
      <c r="M85" s="75"/>
      <c r="N85" s="75"/>
    </row>
    <row r="86" spans="1:14" x14ac:dyDescent="0.3">
      <c r="A86" s="117" t="s">
        <v>51</v>
      </c>
      <c r="B86" s="118" t="s">
        <v>91</v>
      </c>
      <c r="C86" s="119">
        <v>0.38</v>
      </c>
      <c r="D86" s="119" t="s">
        <v>161</v>
      </c>
      <c r="E86" s="119">
        <v>1.56</v>
      </c>
      <c r="F86" s="120" t="s">
        <v>274</v>
      </c>
      <c r="G86" s="121">
        <v>0.6</v>
      </c>
      <c r="H86" s="119" t="s">
        <v>279</v>
      </c>
      <c r="I86" s="122">
        <v>0.25</v>
      </c>
      <c r="J86" s="75"/>
      <c r="K86" s="75"/>
      <c r="L86" s="75"/>
      <c r="M86" s="75"/>
      <c r="N86" s="75"/>
    </row>
    <row r="87" spans="1:14" x14ac:dyDescent="0.3">
      <c r="A87" s="246" t="s">
        <v>321</v>
      </c>
      <c r="B87" s="247" t="s">
        <v>322</v>
      </c>
      <c r="C87" s="248">
        <v>0.41</v>
      </c>
      <c r="D87" s="248" t="s">
        <v>323</v>
      </c>
      <c r="E87" s="248">
        <v>1.56</v>
      </c>
      <c r="F87" s="249" t="s">
        <v>274</v>
      </c>
      <c r="G87" s="250">
        <v>0.43</v>
      </c>
      <c r="H87" s="248" t="s">
        <v>278</v>
      </c>
      <c r="I87" s="251">
        <v>0.25</v>
      </c>
      <c r="J87" s="75"/>
      <c r="K87" s="75"/>
      <c r="L87" s="75"/>
      <c r="M87" s="75"/>
      <c r="N87" s="75"/>
    </row>
    <row r="88" spans="1:14" x14ac:dyDescent="0.3">
      <c r="A88" s="117" t="s">
        <v>148</v>
      </c>
      <c r="B88" s="125"/>
      <c r="C88" s="119">
        <v>0.42</v>
      </c>
      <c r="D88" s="119" t="s">
        <v>161</v>
      </c>
      <c r="E88" s="119">
        <v>1.3</v>
      </c>
      <c r="F88" s="120" t="s">
        <v>274</v>
      </c>
      <c r="G88" s="126"/>
      <c r="H88" s="125"/>
      <c r="I88" s="127"/>
    </row>
    <row r="89" spans="1:14" ht="15" thickBot="1" x14ac:dyDescent="0.35">
      <c r="A89" s="128" t="s">
        <v>149</v>
      </c>
      <c r="B89" s="129"/>
      <c r="C89" s="130">
        <v>0.56999999999999995</v>
      </c>
      <c r="D89" s="131" t="s">
        <v>161</v>
      </c>
      <c r="E89" s="130">
        <v>1.56</v>
      </c>
      <c r="F89" s="130" t="s">
        <v>274</v>
      </c>
      <c r="G89" s="129"/>
      <c r="H89" s="129"/>
      <c r="I89" s="132"/>
    </row>
    <row r="93" spans="1:14" x14ac:dyDescent="0.3">
      <c r="A93" s="117" t="s">
        <v>208</v>
      </c>
    </row>
    <row r="94" spans="1:14" x14ac:dyDescent="0.3">
      <c r="A94" s="117" t="s">
        <v>209</v>
      </c>
    </row>
    <row r="95" spans="1:14" x14ac:dyDescent="0.3">
      <c r="A95" s="11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E20" sqref="E20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0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7" t="s">
        <v>271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9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3" t="s">
        <v>207</v>
      </c>
      <c r="B5" s="134" t="s">
        <v>250</v>
      </c>
      <c r="C5" s="135" t="str">
        <f>Calculateur!S2</f>
        <v>ΔStock moyen de long terme (tCO₂/ha)</v>
      </c>
      <c r="D5" s="135" t="str">
        <f>Calculateur!T2</f>
        <v>Δstock CO₂ 30 ans (tCO₂/ha)</v>
      </c>
      <c r="E5" s="135" t="s">
        <v>228</v>
      </c>
      <c r="F5" s="135" t="s">
        <v>239</v>
      </c>
      <c r="G5" s="135" t="s">
        <v>240</v>
      </c>
      <c r="H5" s="136" t="s">
        <v>241</v>
      </c>
      <c r="I5" s="137" t="s">
        <v>242</v>
      </c>
      <c r="J5" s="138" t="s">
        <v>243</v>
      </c>
      <c r="K5" s="139" t="s">
        <v>244</v>
      </c>
      <c r="L5" s="81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0" t="str">
        <f>IF('Données projet'!$B$9="","",'Données projet'!$B$9)</f>
        <v>Douglas</v>
      </c>
      <c r="B6" s="141">
        <f>'Données projet'!D9</f>
        <v>2.8857142857142861</v>
      </c>
      <c r="C6" s="142">
        <f ca="1">IF(OR('Données projet'!B9="",'Données projet'!C9="",'Données projet'!C9=0%),0,Calculateur!S3)</f>
        <v>443.34220761968419</v>
      </c>
      <c r="D6" s="142">
        <f>IF(OR('Données projet'!B9="",'Données projet'!C9="",'Données projet'!C9=0%),0,Calculateur!T3)</f>
        <v>546.58234447298014</v>
      </c>
      <c r="E6" s="142">
        <f ca="1">MIN(C6,D6)</f>
        <v>443.34220761968419</v>
      </c>
      <c r="F6" s="142">
        <f ca="1">E6*B6</f>
        <v>1279.3589419882317</v>
      </c>
      <c r="G6" s="142">
        <f ca="1">F6*(100%-'Données projet'!$C$24)*(100%-'Données projet'!$C$25)*(100%-'Données projet'!$C$26)*(100%-'Données projet'!$C$27)</f>
        <v>1151.4230477894084</v>
      </c>
      <c r="H6" s="143">
        <f>IF(OR('Données projet'!B9="",'Données projet'!C9="",'Données projet'!C9=0%),0,AVERAGE(Calculateur!$AC$3:$AC$33)*B6)</f>
        <v>11.546638286282118</v>
      </c>
      <c r="I6" s="144">
        <f>H6*(100%-'Données projet'!$C$24)*(100%-'Données projet'!$C$25)*(100%-'Données projet'!$C$26)*(100%-'Données projet'!$C$27)</f>
        <v>10.391974457653907</v>
      </c>
      <c r="J6" s="145">
        <f>IF(OR('Données projet'!B9="",'Données projet'!C9="",'Données projet'!C9=0%),0,SUM(Calculateur!$V$3:$V$33)*VLOOKUP('Données projet'!$B$9,Paramètres!$A$1:$I$89,9,0)*B6)</f>
        <v>134.01257142857145</v>
      </c>
      <c r="K6" s="146">
        <f>J6*(100%-'Données projet'!$C$24)*(100%-'Données projet'!$C$25)*(100%-'Données projet'!$C$26)*(100%-'Données projet'!$C$27)</f>
        <v>120.6113142857143</v>
      </c>
      <c r="L6" s="147">
        <f ca="1">G6+I6+K6</f>
        <v>1282.4263365327768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48" t="str">
        <f>IF('Données projet'!$B$10="","",'Données projet'!$B$10)</f>
        <v>Cèdre de l'Atlas</v>
      </c>
      <c r="B7" s="149">
        <f>'Données projet'!D10</f>
        <v>1.4428571428571431</v>
      </c>
      <c r="C7" s="142">
        <f ca="1">IF(OR('Données projet'!B10="",'Données projet'!C10="",'Données projet'!C10=0%),0,Calculateur!AN3)</f>
        <v>524.3999528951972</v>
      </c>
      <c r="D7" s="142">
        <f>IF(OR('Données projet'!B10="",'Données projet'!C10="",'Données projet'!C10=0%),0,Calculateur!AO3)</f>
        <v>459.3547783500515</v>
      </c>
      <c r="E7" s="142">
        <f t="shared" ref="E7:E15" ca="1" si="0">MIN(C7,D7)</f>
        <v>459.3547783500515</v>
      </c>
      <c r="F7" s="142">
        <f t="shared" ref="F7:F15" ca="1" si="1">E7*B7</f>
        <v>662.7833230479315</v>
      </c>
      <c r="G7" s="142">
        <f ca="1">F7*(100%-'Données projet'!$C$24)*(100%-'Données projet'!$C$25)*(100%-'Données projet'!$C$26)*(100%-'Données projet'!$C$27)</f>
        <v>596.50499074313836</v>
      </c>
      <c r="H7" s="150">
        <f>IF(OR('Données projet'!B10="",'Données projet'!C10="",'Données projet'!C10=0%),0,AVERAGE(Calculateur!$AX$3:$AX$33)*B7)</f>
        <v>14.710923739536469</v>
      </c>
      <c r="I7" s="144">
        <f>H7*(100%-'Données projet'!$C$24)*(100%-'Données projet'!$C$25)*(100%-'Données projet'!$C$26)*(100%-'Données projet'!$C$27)</f>
        <v>13.239831365582821</v>
      </c>
      <c r="J7" s="145">
        <f>IF(OR('Données projet'!B10="",'Données projet'!C10="",'Données projet'!C10=0%),0,SUM(Calculateur!$AQ$3:$AQ$33)*VLOOKUP('Données projet'!$B$10,Paramètres!$A$1:$I$89,9,0)*B7)</f>
        <v>148.90285714285716</v>
      </c>
      <c r="K7" s="146">
        <f>J7*(100%-'Données projet'!$C$24)*(100%-'Données projet'!$C$25)*(100%-'Données projet'!$C$26)*(100%-'Données projet'!$C$27)</f>
        <v>134.01257142857145</v>
      </c>
      <c r="L7" s="147">
        <f t="shared" ref="L7:L15" ca="1" si="2">G7+I7+K7</f>
        <v>743.75739353729273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48" t="str">
        <f>IF('Données projet'!$B$11="","",'Données projet'!$B$11)</f>
        <v>Sapin de Nordmann</v>
      </c>
      <c r="B8" s="149">
        <f>'Données projet'!D11</f>
        <v>1.4428571428571431</v>
      </c>
      <c r="C8" s="142">
        <f ca="1">IF(OR('Données projet'!B11="",'Données projet'!C11="",'Données projet'!C11=0%),0,Calculateur!BI3)</f>
        <v>495.6473104257044</v>
      </c>
      <c r="D8" s="142">
        <f>IF(OR('Données projet'!B11="",'Données projet'!C11="",'Données projet'!C11=0%),0,Calculateur!BJ3)</f>
        <v>430.92527296485201</v>
      </c>
      <c r="E8" s="142">
        <f t="shared" ca="1" si="0"/>
        <v>430.92527296485201</v>
      </c>
      <c r="F8" s="142">
        <f t="shared" ca="1" si="1"/>
        <v>621.76360813500082</v>
      </c>
      <c r="G8" s="142">
        <f ca="1">F8*(100%-'Données projet'!$C$24)*(100%-'Données projet'!$C$25)*(100%-'Données projet'!$C$26)*(100%-'Données projet'!$C$27)</f>
        <v>559.58724732150074</v>
      </c>
      <c r="H8" s="150">
        <f>IF(OR('Données projet'!B11="",'Données projet'!C11="",'Données projet'!C11=0%),0,AVERAGE(Calculateur!$BS$3:$BS$33)*B8)</f>
        <v>11.913087692909238</v>
      </c>
      <c r="I8" s="144">
        <f>H8*(100%-'Données projet'!$C$24)*(100%-'Données projet'!$C$25)*(100%-'Données projet'!$C$26)*(100%-'Données projet'!$C$27)</f>
        <v>10.721778923618315</v>
      </c>
      <c r="J8" s="145">
        <f>IF(OR('Données projet'!B11="",'Données projet'!C11="",'Données projet'!C11=0%),0,SUM(Calculateur!$BL$3:$BL$33)*VLOOKUP('Données projet'!$B$11,Paramètres!$A$1:$I$89,9,0)*B8)</f>
        <v>122.22442857142858</v>
      </c>
      <c r="K8" s="146">
        <f>J8*(100%-'Données projet'!$C$24)*(100%-'Données projet'!$C$25)*(100%-'Données projet'!$C$26)*(100%-'Données projet'!$C$27)</f>
        <v>110.00198571428572</v>
      </c>
      <c r="L8" s="147">
        <f t="shared" ca="1" si="2"/>
        <v>680.31101195940482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48" t="str">
        <f>IF('Données projet'!$B$12="","",'Données projet'!$B$12)</f>
        <v>Pin maritime</v>
      </c>
      <c r="B9" s="149">
        <f>'Données projet'!D12</f>
        <v>1.4428571428571431</v>
      </c>
      <c r="C9" s="142">
        <f ca="1">IF(OR('Données projet'!B12="",'Données projet'!C12="",'Données projet'!C12=0%),0,Calculateur!CD3)</f>
        <v>187.80389738728508</v>
      </c>
      <c r="D9" s="142">
        <f>IF(OR('Données projet'!B12="",'Données projet'!C12="",'Données projet'!C12=0%),0,Calculateur!CE3)</f>
        <v>439.28159165815265</v>
      </c>
      <c r="E9" s="142">
        <f t="shared" ca="1" si="0"/>
        <v>187.80389738728508</v>
      </c>
      <c r="F9" s="142">
        <f t="shared" ca="1" si="1"/>
        <v>270.97419480165422</v>
      </c>
      <c r="G9" s="142">
        <f ca="1">F9*(100%-'Données projet'!$C$24)*(100%-'Données projet'!$C$25)*(100%-'Données projet'!$C$26)*(100%-'Données projet'!$C$27)</f>
        <v>243.87677532148879</v>
      </c>
      <c r="H9" s="150">
        <f>IF(OR('Données projet'!B12="",'Données projet'!C12="",'Données projet'!C12=0%),0,AVERAGE(Calculateur!$CN$3:$CN$33)*B9)</f>
        <v>21.387008698567463</v>
      </c>
      <c r="I9" s="144">
        <f>H9*(100%-'Données projet'!$C$24)*(100%-'Données projet'!$C$25)*(100%-'Données projet'!$C$26)*(100%-'Données projet'!$C$27)</f>
        <v>19.248307828710718</v>
      </c>
      <c r="J9" s="145">
        <f>IF(OR('Données projet'!B12="",'Données projet'!C12="",'Données projet'!C12=0%),0,SUM(Calculateur!$CG$3:$CG$33)*VLOOKUP('Données projet'!$B$12,Paramètres!$A$1:$I$89,9,0)*B9)</f>
        <v>376.26828571428575</v>
      </c>
      <c r="K9" s="146">
        <f>J9*(100%-'Données projet'!$C$24)*(100%-'Données projet'!$C$25)*(100%-'Données projet'!$C$26)*(100%-'Données projet'!$C$27)</f>
        <v>338.64145714285718</v>
      </c>
      <c r="L9" s="147">
        <f t="shared" ca="1" si="2"/>
        <v>601.76654029305666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48" t="str">
        <f>IF('Données projet'!$B$13="","",'Données projet'!$B$13)</f>
        <v>Chêne sessile</v>
      </c>
      <c r="B10" s="149">
        <f>'Données projet'!D13</f>
        <v>0.96166428571428575</v>
      </c>
      <c r="C10" s="142">
        <f ca="1">IF(OR('Données projet'!B13="",'Données projet'!C13="",'Données projet'!C13=0%),0,Calculateur!CY3)</f>
        <v>364.3481978218424</v>
      </c>
      <c r="D10" s="142">
        <f>IF(OR('Données projet'!B13="",'Données projet'!C13="",'Données projet'!C13=0%),0,Calculateur!CZ3)</f>
        <v>231.36959598460686</v>
      </c>
      <c r="E10" s="142">
        <f t="shared" ca="1" si="0"/>
        <v>231.36959598460686</v>
      </c>
      <c r="F10" s="142">
        <f t="shared" ca="1" si="1"/>
        <v>222.49987725853984</v>
      </c>
      <c r="G10" s="142">
        <f ca="1">F10*(100%-'Données projet'!$C$24)*(100%-'Données projet'!$C$25)*(100%-'Données projet'!$C$26)*(100%-'Données projet'!$C$27)</f>
        <v>200.24988953268587</v>
      </c>
      <c r="H10" s="150">
        <f>IF(OR('Données projet'!B13="",'Données projet'!C13="",'Données projet'!C13=0%),0,AVERAGE(Calculateur!$DI$3:$DI$33)*B10)</f>
        <v>0</v>
      </c>
      <c r="I10" s="144">
        <f>H10*(100%-'Données projet'!$C$24)*(100%-'Données projet'!$C$25)*(100%-'Données projet'!$C$26)*(100%-'Données projet'!$C$27)</f>
        <v>0</v>
      </c>
      <c r="J10" s="145">
        <f>IF(OR('Données projet'!B13="",'Données projet'!C13="",'Données projet'!C13=0%),0,SUM(Calculateur!$DB$3:$DB$33)*VLOOKUP('Données projet'!$B$13,Paramètres!$A$1:$I$89,9,0)*B10)</f>
        <v>6.9720660714285714</v>
      </c>
      <c r="K10" s="146">
        <f>J10*(100%-'Données projet'!$C$24)*(100%-'Données projet'!$C$25)*(100%-'Données projet'!$C$26)*(100%-'Données projet'!$C$27)</f>
        <v>6.2748594642857141</v>
      </c>
      <c r="L10" s="147">
        <f t="shared" ca="1" si="2"/>
        <v>206.5247489969716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48" t="str">
        <f>IF('Données projet'!$B$14="","",'Données projet'!$B$14)</f>
        <v>Châtaignier</v>
      </c>
      <c r="B11" s="149">
        <f>'Données projet'!D14</f>
        <v>0.96166428571428575</v>
      </c>
      <c r="C11" s="142">
        <f ca="1">IF(OR('Données projet'!B14="",'Données projet'!C14="",'Données projet'!C14=0%),0,Calculateur!DT3)</f>
        <v>239.25212250019609</v>
      </c>
      <c r="D11" s="142">
        <f>IF(OR('Données projet'!B14="",'Données projet'!C14="",'Données projet'!C14=0%),0,Calculateur!DU3)</f>
        <v>213.58492101729695</v>
      </c>
      <c r="E11" s="142">
        <f t="shared" ca="1" si="0"/>
        <v>213.58492101729695</v>
      </c>
      <c r="F11" s="142">
        <f t="shared" ca="1" si="1"/>
        <v>205.396990509441</v>
      </c>
      <c r="G11" s="142">
        <f ca="1">F11*(100%-'Données projet'!$C$24)*(100%-'Données projet'!$C$25)*(100%-'Données projet'!$C$26)*(100%-'Données projet'!$C$27)</f>
        <v>184.85729145849689</v>
      </c>
      <c r="H11" s="150">
        <f>IF(OR('Données projet'!B14="",'Données projet'!C14="",'Données projet'!C14=0%),0,AVERAGE(Calculateur!$ED$3:$ED$33)*B11)</f>
        <v>0</v>
      </c>
      <c r="I11" s="144">
        <f>H11*(100%-'Données projet'!$C$24)*(100%-'Données projet'!$C$25)*(100%-'Données projet'!$C$26)*(100%-'Données projet'!$C$27)</f>
        <v>0</v>
      </c>
      <c r="J11" s="145">
        <f>IF(OR('Données projet'!B14="",'Données projet'!C14="",'Données projet'!C14=0%),0,SUM(Calculateur!$DW$3:$DW$33)*VLOOKUP('Données projet'!$B$14,Paramètres!$A$1:$I$89,9,0)*B11)</f>
        <v>44.71738928571429</v>
      </c>
      <c r="K11" s="146">
        <f>J11*(100%-'Données projet'!$C$24)*(100%-'Données projet'!$C$25)*(100%-'Données projet'!$C$26)*(100%-'Données projet'!$C$27)</f>
        <v>40.245650357142864</v>
      </c>
      <c r="L11" s="147">
        <f t="shared" ca="1" si="2"/>
        <v>225.10294181563975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48" t="str">
        <f>IF('Données projet'!$B$15="","",'Données projet'!$B$15)</f>
        <v>Hêtre</v>
      </c>
      <c r="B12" s="149">
        <f>'Données projet'!D15</f>
        <v>0.96238571428571418</v>
      </c>
      <c r="C12" s="142">
        <f ca="1">IF(OR('Données projet'!B15="",'Données projet'!C15="",'Données projet'!C15=0%),0,Calculateur!EO3)</f>
        <v>447.10969593632467</v>
      </c>
      <c r="D12" s="142">
        <f>IF(OR('Données projet'!B15="",'Données projet'!C15="",'Données projet'!C15=0%),0,Calculateur!EP3)</f>
        <v>256.77417912163997</v>
      </c>
      <c r="E12" s="142">
        <f t="shared" ca="1" si="0"/>
        <v>256.77417912163997</v>
      </c>
      <c r="F12" s="142">
        <f t="shared" ca="1" si="1"/>
        <v>247.11580178410739</v>
      </c>
      <c r="G12" s="142">
        <f ca="1">F12*(100%-'Données projet'!$C$24)*(100%-'Données projet'!$C$25)*(100%-'Données projet'!$C$26)*(100%-'Données projet'!$C$27)</f>
        <v>222.40422160569665</v>
      </c>
      <c r="H12" s="150">
        <f>IF(OR('Données projet'!B15="",'Données projet'!C15="",'Données projet'!C15=0%),0,AVERAGE(Calculateur!$EY$3:$EY$33)*B12)</f>
        <v>0</v>
      </c>
      <c r="I12" s="144">
        <f>H12*(100%-'Données projet'!$C$24)*(100%-'Données projet'!$C$25)*(100%-'Données projet'!$C$26)*(100%-'Données projet'!$C$27)</f>
        <v>0</v>
      </c>
      <c r="J12" s="145">
        <f>IF(OR('Données projet'!B15="",'Données projet'!C15="",'Données projet'!C15=0%),0,SUM(Calculateur!$ER$3:$ER$33)*VLOOKUP('Données projet'!$B$15,Paramètres!$A$1:$I$89,9,0)*B12)</f>
        <v>8.4208749999999988</v>
      </c>
      <c r="K12" s="146">
        <f>J12*(100%-'Données projet'!$C$24)*(100%-'Données projet'!$C$25)*(100%-'Données projet'!$C$26)*(100%-'Données projet'!$C$27)</f>
        <v>7.5787874999999989</v>
      </c>
      <c r="L12" s="147">
        <f t="shared" ca="1" si="2"/>
        <v>229.98300910569665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48" t="str">
        <f>IF('Données projet'!$B$16="","",'Données projet'!$B$16)</f>
        <v/>
      </c>
      <c r="B13" s="149">
        <f>'Données projet'!D16</f>
        <v>0</v>
      </c>
      <c r="C13" s="142">
        <f>IF(OR('Données projet'!B16="",'Données projet'!C16="",'Données projet'!C16=0%),0,Calculateur!FJ3)</f>
        <v>0</v>
      </c>
      <c r="D13" s="142">
        <f>IF(OR('Données projet'!B16="",'Données projet'!C16="",'Données projet'!C16=0%),0,Calculateur!FK3)</f>
        <v>0</v>
      </c>
      <c r="E13" s="142">
        <f t="shared" si="0"/>
        <v>0</v>
      </c>
      <c r="F13" s="142">
        <f t="shared" si="1"/>
        <v>0</v>
      </c>
      <c r="G13" s="142">
        <f>F13*(100%-'Données projet'!$C$24)*(100%-'Données projet'!$C$25)*(100%-'Données projet'!$C$26)*(100%-'Données projet'!$C$27)</f>
        <v>0</v>
      </c>
      <c r="H13" s="150">
        <f>IF(OR('Données projet'!B16="",'Données projet'!C16="",'Données projet'!C16=0%),0,AVERAGE(Calculateur!$FT$3:$FT$33)*B13)</f>
        <v>0</v>
      </c>
      <c r="I13" s="144">
        <f>H13*(100%-'Données projet'!$C$24)*(100%-'Données projet'!$C$25)*(100%-'Données projet'!$C$26)*(100%-'Données projet'!$C$27)</f>
        <v>0</v>
      </c>
      <c r="J13" s="145">
        <f>IF(OR('Données projet'!C16="",'Données projet'!C16=0%),0,SUM(Calculateur!$FM$3:$FM$33)*VLOOKUP('Données projet'!$B$16,Paramètres!$A$1:$I$89,9,0)*B13)</f>
        <v>0</v>
      </c>
      <c r="K13" s="146">
        <f>J13*(100%-'Données projet'!$C$24)*(100%-'Données projet'!$C$25)*(100%-'Données projet'!$C$26)*(100%-'Données projet'!$C$27)</f>
        <v>0</v>
      </c>
      <c r="L13" s="147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48" t="str">
        <f>IF('Données projet'!$B$17="","",'Données projet'!$B$17)</f>
        <v/>
      </c>
      <c r="B14" s="149">
        <f>'Données projet'!D17</f>
        <v>0</v>
      </c>
      <c r="C14" s="142">
        <f>IF(OR('Données projet'!B17="",'Données projet'!C17="",'Données projet'!C17=0%),0,Calculateur!GE3)</f>
        <v>0</v>
      </c>
      <c r="D14" s="142">
        <f>IF(OR('Données projet'!B17="",'Données projet'!C17="",'Données projet'!C17=0%),0,Calculateur!GF3)</f>
        <v>0</v>
      </c>
      <c r="E14" s="142">
        <f t="shared" si="0"/>
        <v>0</v>
      </c>
      <c r="F14" s="142">
        <f t="shared" si="1"/>
        <v>0</v>
      </c>
      <c r="G14" s="142">
        <f>F14*(100%-'Données projet'!$C$24)*(100%-'Données projet'!$C$25)*(100%-'Données projet'!$C$26)*(100%-'Données projet'!$C$27)</f>
        <v>0</v>
      </c>
      <c r="H14" s="150">
        <f>IF(OR('Données projet'!B17="",'Données projet'!C17="",'Données projet'!C17=0%),0,AVERAGE(Calculateur!$GO$3:$GO$33)*B14)</f>
        <v>0</v>
      </c>
      <c r="I14" s="144">
        <f>H14*(100%-'Données projet'!$C$24)*(100%-'Données projet'!$C$25)*(100%-'Données projet'!$C$26)*(100%-'Données projet'!$C$27)</f>
        <v>0</v>
      </c>
      <c r="J14" s="145">
        <f>IF(OR('Données projet'!B17="",'Données projet'!C17="",'Données projet'!C17=0%),0,SUM(Calculateur!$GH$3:$GH$33)*VLOOKUP('Données projet'!$B$17,Paramètres!$A$1:$I$89,9,0)*B14)</f>
        <v>0</v>
      </c>
      <c r="K14" s="146">
        <f>J14*(100%-'Données projet'!$C$24)*(100%-'Données projet'!$C$25)*(100%-'Données projet'!$C$26)*(100%-'Données projet'!$C$27)</f>
        <v>0</v>
      </c>
      <c r="L14" s="147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1" t="str">
        <f>IF('Données projet'!B18="","",'Données projet'!B18)</f>
        <v/>
      </c>
      <c r="B15" s="152">
        <f>'Données projet'!D18</f>
        <v>0</v>
      </c>
      <c r="C15" s="153">
        <f>IF(OR('Données projet'!B18="",'Données projet'!C18="",'Données projet'!C18=0%),0,Calculateur!GZ3)</f>
        <v>0</v>
      </c>
      <c r="D15" s="153">
        <f>IF(OR('Données projet'!B18="",'Données projet'!C18="",'Données projet'!C18=0%),0,Calculateur!HA3)</f>
        <v>0</v>
      </c>
      <c r="E15" s="153">
        <f t="shared" si="0"/>
        <v>0</v>
      </c>
      <c r="F15" s="154">
        <f t="shared" si="1"/>
        <v>0</v>
      </c>
      <c r="G15" s="154">
        <f>F15*(100%-'Données projet'!$C$24)*(100%-'Données projet'!$C$25)*(100%-'Données projet'!$C$26)*(100%-'Données projet'!$C$27)</f>
        <v>0</v>
      </c>
      <c r="H15" s="155">
        <f>IF(OR('Données projet'!B18="",'Données projet'!C18="",'Données projet'!C18=0%),0,AVERAGE(Calculateur!$HJ$3:$HJ$33)*B15)</f>
        <v>0</v>
      </c>
      <c r="I15" s="156">
        <f>H15*(100%-'Données projet'!$C$24)*(100%-'Données projet'!$C$25)*(100%-'Données projet'!$C$26)*(100%-'Données projet'!$C$27)</f>
        <v>0</v>
      </c>
      <c r="J15" s="157">
        <f>IF(OR('Données projet'!B18="",'Données projet'!C18="",'Données projet'!C18=0%),0,SUM(Calculateur!$HC$3:$HC$33)*VLOOKUP('Données projet'!$B$18,Paramètres!$A$1:$I$89,9,0)*B15)</f>
        <v>0</v>
      </c>
      <c r="K15" s="158">
        <f>J15*(100%-'Données projet'!$C$24)*(100%-'Données projet'!$C$25)*(100%-'Données projet'!$C$26)*(100%-'Données projet'!$C$27)</f>
        <v>0</v>
      </c>
      <c r="L15" s="159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4"/>
      <c r="B16" s="208"/>
      <c r="C16" s="209"/>
      <c r="D16" s="23"/>
      <c r="E16" s="23"/>
      <c r="F16" s="160">
        <f t="shared" ref="F16:L16" ca="1" si="3">SUM(F6:F15)</f>
        <v>3509.8927375249068</v>
      </c>
      <c r="G16" s="161">
        <f t="shared" ca="1" si="3"/>
        <v>3158.9034637724162</v>
      </c>
      <c r="H16" s="162">
        <f t="shared" si="3"/>
        <v>59.557658417295286</v>
      </c>
      <c r="I16" s="162">
        <f t="shared" si="3"/>
        <v>53.601892575565756</v>
      </c>
      <c r="J16" s="163">
        <f t="shared" si="3"/>
        <v>841.51847321428579</v>
      </c>
      <c r="K16" s="163">
        <f t="shared" si="3"/>
        <v>757.36662589285709</v>
      </c>
      <c r="L16" s="164">
        <f t="shared" ca="1" si="3"/>
        <v>3969.8719822408389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4"/>
      <c r="B17" s="208"/>
      <c r="C17" s="209"/>
      <c r="D17" s="23"/>
      <c r="E17" s="23"/>
      <c r="F17" s="289" t="s">
        <v>246</v>
      </c>
      <c r="G17" s="290"/>
      <c r="H17" s="290"/>
      <c r="I17" s="290"/>
      <c r="J17" s="290"/>
      <c r="K17" s="290"/>
      <c r="L17" s="290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4"/>
      <c r="B18" s="208"/>
      <c r="C18" s="209"/>
      <c r="D18" s="23"/>
      <c r="E18" s="23"/>
      <c r="F18" s="276"/>
      <c r="G18" s="276"/>
      <c r="H18" s="276"/>
      <c r="I18" s="276"/>
      <c r="J18" s="276"/>
      <c r="K18" s="276"/>
      <c r="L18" s="276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5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5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5" t="str">
        <f>A8</f>
        <v>Sapin de Nordmann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5" t="str">
        <f>A9</f>
        <v>Pin maritime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5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5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5" t="str">
        <f>A12</f>
        <v>Hêtre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5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5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5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9" zoomScale="85" zoomScaleNormal="85" workbookViewId="0">
      <selection activeCell="M36" sqref="M3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7" t="s">
        <v>272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9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305" t="s">
        <v>253</v>
      </c>
      <c r="L4" s="306"/>
      <c r="M4" s="232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67"/>
      <c r="I6" s="167"/>
      <c r="J6" s="16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37"/>
      <c r="B7" s="238"/>
      <c r="C7" s="238"/>
      <c r="D7" s="238"/>
      <c r="E7" s="239"/>
      <c r="F7" s="239" t="s">
        <v>192</v>
      </c>
      <c r="G7" s="240"/>
      <c r="H7" s="238"/>
      <c r="I7" s="238"/>
      <c r="J7" s="241"/>
      <c r="K7" s="235"/>
      <c r="L7" s="236"/>
      <c r="M7" s="236"/>
      <c r="N7" s="242" t="s">
        <v>191</v>
      </c>
      <c r="O7" s="242"/>
      <c r="P7" s="243"/>
      <c r="Q7" s="244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5"/>
      <c r="K8" s="203"/>
      <c r="L8" s="23"/>
      <c r="M8" s="23"/>
      <c r="N8" s="23"/>
      <c r="O8" s="23"/>
      <c r="P8" s="23"/>
      <c r="Q8" s="229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88" t="s">
        <v>311</v>
      </c>
      <c r="C9" s="23"/>
      <c r="D9" s="23"/>
      <c r="E9" s="23"/>
      <c r="F9" s="225"/>
      <c r="G9" s="88" t="s">
        <v>314</v>
      </c>
      <c r="J9" s="195"/>
      <c r="K9" s="203"/>
      <c r="O9" s="23"/>
      <c r="P9" s="23"/>
      <c r="Q9" s="229"/>
      <c r="R9" s="23"/>
      <c r="S9" s="4"/>
      <c r="T9" s="36" t="s">
        <v>262</v>
      </c>
      <c r="U9" s="171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88" t="s">
        <v>317</v>
      </c>
      <c r="C10" s="23"/>
      <c r="D10" s="23"/>
      <c r="E10" s="23"/>
      <c r="F10" s="225"/>
      <c r="G10" s="88" t="s">
        <v>316</v>
      </c>
      <c r="J10" s="195"/>
      <c r="K10" s="203"/>
      <c r="O10" s="23"/>
      <c r="P10" s="23"/>
      <c r="Q10" s="229"/>
      <c r="R10" s="23"/>
      <c r="S10" s="36" t="str">
        <f>B14</f>
        <v>Douglas</v>
      </c>
      <c r="T10" s="172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-1790.1154694201352</v>
      </c>
      <c r="U10" s="173">
        <f>'Données projet'!D9</f>
        <v>2.8857142857142861</v>
      </c>
      <c r="V10" s="172">
        <f>U10*T10</f>
        <v>-5165.7617831838197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88" t="s">
        <v>312</v>
      </c>
      <c r="B11" s="23"/>
      <c r="C11" s="23"/>
      <c r="D11" s="23"/>
      <c r="E11" s="23"/>
      <c r="F11" s="225"/>
      <c r="G11" s="88" t="s">
        <v>313</v>
      </c>
      <c r="J11" s="195"/>
      <c r="K11" s="203"/>
      <c r="M11" s="4"/>
      <c r="N11" s="4"/>
      <c r="O11" s="23"/>
      <c r="P11" s="23"/>
      <c r="Q11" s="229"/>
      <c r="R11" s="23"/>
      <c r="S11" s="36" t="str">
        <f>B45</f>
        <v>Cèdre de l'Atlas</v>
      </c>
      <c r="T11" s="234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-3570.2462857646556</v>
      </c>
      <c r="U11" s="173">
        <f>'Données projet'!D10</f>
        <v>1.4428571428571431</v>
      </c>
      <c r="V11" s="172">
        <f t="shared" ref="V11" si="0">U11*T11</f>
        <v>-5151.3553551747182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5"/>
      <c r="J12" s="195"/>
      <c r="K12" s="203"/>
      <c r="L12" s="197"/>
      <c r="M12" s="23"/>
      <c r="N12" s="23"/>
      <c r="O12" s="23"/>
      <c r="P12" s="23"/>
      <c r="Q12" s="229"/>
      <c r="R12" s="23"/>
      <c r="S12" s="36" t="str">
        <f>B76</f>
        <v>Sapin de Nordmann</v>
      </c>
      <c r="T12" s="234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-1854.5609989532295</v>
      </c>
      <c r="U12" s="173">
        <f>'Données projet'!D11</f>
        <v>1.4428571428571431</v>
      </c>
      <c r="V12" s="172">
        <f t="shared" ref="V12:V19" si="1">U12*T12</f>
        <v>-2675.8665842039459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5"/>
      <c r="J13" s="23"/>
      <c r="K13" s="203"/>
      <c r="L13" s="88" t="s">
        <v>257</v>
      </c>
      <c r="M13" s="23"/>
      <c r="N13" s="23"/>
      <c r="O13" s="23"/>
      <c r="P13" s="23"/>
      <c r="Q13" s="229"/>
      <c r="R13" s="23"/>
      <c r="S13" s="36" t="str">
        <f>B107</f>
        <v>Pin maritime</v>
      </c>
      <c r="T13" s="234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1868.4961175740459</v>
      </c>
      <c r="U13" s="173">
        <f>'Données projet'!D12</f>
        <v>1.4428571428571431</v>
      </c>
      <c r="V13" s="172">
        <f t="shared" si="1"/>
        <v>2695.9729696425525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69" t="str">
        <f>IF('Données projet'!$B$9="","",'Données projet'!$B$9)</f>
        <v>Douglas</v>
      </c>
      <c r="C14" s="4"/>
      <c r="D14" s="4"/>
      <c r="E14" s="4"/>
      <c r="F14" s="225"/>
      <c r="G14" s="23"/>
      <c r="H14" s="36" t="s">
        <v>178</v>
      </c>
      <c r="I14" s="36" t="s">
        <v>290</v>
      </c>
      <c r="J14" s="196"/>
      <c r="K14" s="168"/>
      <c r="L14" s="197"/>
      <c r="M14" s="23"/>
      <c r="N14" s="23"/>
      <c r="O14" s="4"/>
      <c r="P14" s="4"/>
      <c r="Q14" s="230"/>
      <c r="R14" s="4"/>
      <c r="S14" s="36" t="str">
        <f>B138</f>
        <v>Chêne sessile</v>
      </c>
      <c r="T14" s="234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-3150.3250137120835</v>
      </c>
      <c r="U14" s="173">
        <f>'Données projet'!D13</f>
        <v>0.96166428571428575</v>
      </c>
      <c r="V14" s="172">
        <f t="shared" si="1"/>
        <v>-3029.5550540792783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5"/>
      <c r="G15" s="308" t="s">
        <v>318</v>
      </c>
      <c r="H15" s="185"/>
      <c r="I15" s="186"/>
      <c r="J15" s="197"/>
      <c r="K15" s="203"/>
      <c r="L15" s="197"/>
      <c r="M15" s="23"/>
      <c r="N15" s="23"/>
      <c r="O15" s="23"/>
      <c r="P15" s="23"/>
      <c r="Q15" s="229"/>
      <c r="R15" s="23"/>
      <c r="S15" s="36" t="str">
        <f>B169</f>
        <v>Châtaignier</v>
      </c>
      <c r="T15" s="234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-1906.1903892245034</v>
      </c>
      <c r="U15" s="173">
        <f>'Données projet'!D14</f>
        <v>0.96166428571428575</v>
      </c>
      <c r="V15" s="172">
        <f t="shared" si="1"/>
        <v>-1833.1152190890184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5"/>
      <c r="G16" s="308"/>
      <c r="H16" s="185"/>
      <c r="I16" s="186"/>
      <c r="J16" s="197"/>
      <c r="K16" s="203"/>
      <c r="L16" s="305" t="s">
        <v>254</v>
      </c>
      <c r="M16" s="306"/>
      <c r="N16" s="2"/>
      <c r="O16" s="23"/>
      <c r="P16" s="23"/>
      <c r="Q16" s="229"/>
      <c r="R16" s="23"/>
      <c r="S16" s="36" t="str">
        <f>B200</f>
        <v>Hêtre</v>
      </c>
      <c r="T16" s="234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-2369.013510057759</v>
      </c>
      <c r="U16" s="173">
        <f>'Données projet'!D15</f>
        <v>0.96238571428571418</v>
      </c>
      <c r="V16" s="172">
        <f t="shared" si="1"/>
        <v>-2279.9047590294435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4" t="s">
        <v>132</v>
      </c>
      <c r="C17" s="193" t="s">
        <v>132</v>
      </c>
      <c r="D17" s="192" t="s">
        <v>132</v>
      </c>
      <c r="E17" s="261">
        <v>2113.9699999999998</v>
      </c>
      <c r="F17" s="225"/>
      <c r="G17" s="308"/>
      <c r="J17" s="197"/>
      <c r="K17" s="203"/>
      <c r="L17" s="265" t="s">
        <v>289</v>
      </c>
      <c r="M17" s="267"/>
      <c r="N17" s="170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29"/>
      <c r="R17" s="23"/>
      <c r="S17" s="36" t="str">
        <f>B231</f>
        <v/>
      </c>
      <c r="T17" s="234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3">
        <f>'Données projet'!D16</f>
        <v>0</v>
      </c>
      <c r="V17" s="172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4" t="s">
        <v>132</v>
      </c>
      <c r="C18" s="193" t="s">
        <v>132</v>
      </c>
      <c r="D18" s="192" t="s">
        <v>132</v>
      </c>
      <c r="E18" s="188"/>
      <c r="F18" s="225"/>
      <c r="G18" s="308"/>
      <c r="J18" s="197"/>
      <c r="K18" s="203"/>
      <c r="L18" s="265" t="s">
        <v>255</v>
      </c>
      <c r="M18" s="267"/>
      <c r="N18" s="187"/>
      <c r="O18" s="23"/>
      <c r="P18" s="23"/>
      <c r="Q18" s="229"/>
      <c r="R18" s="23"/>
      <c r="S18" s="36" t="str">
        <f>B262</f>
        <v/>
      </c>
      <c r="T18" s="234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3">
        <f>'Données projet'!D17</f>
        <v>0</v>
      </c>
      <c r="V18" s="172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4" t="s">
        <v>132</v>
      </c>
      <c r="C19" s="193" t="s">
        <v>132</v>
      </c>
      <c r="D19" s="192" t="s">
        <v>132</v>
      </c>
      <c r="E19" s="188"/>
      <c r="F19" s="225"/>
      <c r="G19" s="308"/>
      <c r="H19" s="207" t="s">
        <v>178</v>
      </c>
      <c r="I19" s="207" t="s">
        <v>287</v>
      </c>
      <c r="J19" s="88"/>
      <c r="K19" s="168"/>
      <c r="L19" s="305" t="s">
        <v>288</v>
      </c>
      <c r="M19" s="306"/>
      <c r="N19" s="174">
        <f>N17*N18</f>
        <v>0</v>
      </c>
      <c r="O19" s="23"/>
      <c r="P19" s="4"/>
      <c r="Q19" s="230"/>
      <c r="R19" s="4"/>
      <c r="S19" s="36" t="str">
        <f>B293</f>
        <v/>
      </c>
      <c r="T19" s="234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3">
        <f>'Données projet'!D18</f>
        <v>0</v>
      </c>
      <c r="V19" s="172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4" t="s">
        <v>132</v>
      </c>
      <c r="C20" s="193" t="s">
        <v>132</v>
      </c>
      <c r="D20" s="192" t="s">
        <v>132</v>
      </c>
      <c r="E20" s="188"/>
      <c r="F20" s="225"/>
      <c r="G20" s="308"/>
      <c r="H20" s="185">
        <v>0</v>
      </c>
      <c r="I20" s="186">
        <v>3897</v>
      </c>
      <c r="J20" s="4"/>
      <c r="K20" s="168"/>
      <c r="O20" s="23"/>
      <c r="P20" s="4"/>
      <c r="Q20" s="230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4" t="s">
        <v>132</v>
      </c>
      <c r="C21" s="193" t="s">
        <v>132</v>
      </c>
      <c r="D21" s="192" t="s">
        <v>132</v>
      </c>
      <c r="E21" s="188"/>
      <c r="F21" s="225"/>
      <c r="H21" s="185">
        <v>1</v>
      </c>
      <c r="I21" s="186"/>
      <c r="K21" s="168"/>
      <c r="O21" s="23"/>
      <c r="P21" s="4"/>
      <c r="Q21" s="230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4" t="s">
        <v>132</v>
      </c>
      <c r="C22" s="193" t="s">
        <v>132</v>
      </c>
      <c r="D22" s="192" t="s">
        <v>132</v>
      </c>
      <c r="E22" s="188"/>
      <c r="F22" s="225"/>
      <c r="H22" s="185">
        <v>2</v>
      </c>
      <c r="I22" s="186"/>
      <c r="K22" s="168"/>
      <c r="O22" s="23"/>
      <c r="P22" s="4"/>
      <c r="Q22" s="230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5">
        <f>'Données projet'!A36</f>
        <v>19</v>
      </c>
      <c r="B23" s="176">
        <f>'Données projet'!D36</f>
        <v>0</v>
      </c>
      <c r="C23" s="188"/>
      <c r="D23" s="177">
        <f>B23*C23</f>
        <v>0</v>
      </c>
      <c r="E23" s="188"/>
      <c r="F23" s="225"/>
      <c r="H23" s="185">
        <v>3</v>
      </c>
      <c r="I23" s="186"/>
      <c r="K23" s="203"/>
      <c r="L23" s="307" t="s">
        <v>260</v>
      </c>
      <c r="M23" s="307"/>
      <c r="N23" s="307"/>
      <c r="O23" s="23"/>
      <c r="P23" s="23"/>
      <c r="Q23" s="229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-56799.285785117667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5">
        <f>'Données projet'!A37</f>
        <v>25</v>
      </c>
      <c r="B24" s="176">
        <f>'Données projet'!D37</f>
        <v>54</v>
      </c>
      <c r="C24" s="188">
        <v>10</v>
      </c>
      <c r="D24" s="177">
        <f t="shared" ref="D24:D42" si="2">B24*C24</f>
        <v>540</v>
      </c>
      <c r="E24" s="188"/>
      <c r="F24" s="228"/>
      <c r="H24" s="185">
        <v>4</v>
      </c>
      <c r="I24" s="186"/>
      <c r="K24" s="203"/>
      <c r="O24" s="23"/>
      <c r="P24" s="23"/>
      <c r="Q24" s="229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5">
        <f>'Données projet'!A38</f>
        <v>30</v>
      </c>
      <c r="B25" s="176">
        <f>'Données projet'!D38</f>
        <v>54</v>
      </c>
      <c r="C25" s="188">
        <v>10</v>
      </c>
      <c r="D25" s="177">
        <f t="shared" si="2"/>
        <v>540</v>
      </c>
      <c r="E25" s="188"/>
      <c r="F25" s="228"/>
      <c r="H25" s="185">
        <v>5</v>
      </c>
      <c r="I25" s="186"/>
      <c r="K25" s="203"/>
      <c r="L25" s="125" t="s">
        <v>285</v>
      </c>
      <c r="M25" s="125"/>
      <c r="N25" s="125"/>
      <c r="O25" s="125"/>
      <c r="P25" s="187">
        <v>0</v>
      </c>
      <c r="Q25" s="229"/>
      <c r="R25" s="23"/>
      <c r="S25" s="181" t="s">
        <v>266</v>
      </c>
      <c r="T25" s="304">
        <f ca="1">T23-T24</f>
        <v>-56799.285785117667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5">
        <f>'Données projet'!A39</f>
        <v>35</v>
      </c>
      <c r="B26" s="176">
        <f>'Données projet'!D39</f>
        <v>69</v>
      </c>
      <c r="C26" s="188"/>
      <c r="D26" s="177">
        <f t="shared" si="2"/>
        <v>0</v>
      </c>
      <c r="E26" s="188"/>
      <c r="F26" s="228"/>
      <c r="G26" s="224"/>
      <c r="H26" s="185">
        <v>6</v>
      </c>
      <c r="I26" s="186"/>
      <c r="K26" s="203"/>
      <c r="L26" s="291" t="s">
        <v>258</v>
      </c>
      <c r="M26" s="292"/>
      <c r="N26" s="292"/>
      <c r="O26" s="292"/>
      <c r="P26" s="293"/>
      <c r="Q26" s="229"/>
      <c r="R26" s="23"/>
      <c r="S26" s="181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5">
        <f>'Données projet'!A40</f>
        <v>40</v>
      </c>
      <c r="B27" s="176">
        <f>'Données projet'!D40</f>
        <v>72</v>
      </c>
      <c r="C27" s="188"/>
      <c r="D27" s="177">
        <f t="shared" si="2"/>
        <v>0</v>
      </c>
      <c r="E27" s="188"/>
      <c r="F27" s="228"/>
      <c r="G27" s="224"/>
      <c r="H27" s="185">
        <v>7</v>
      </c>
      <c r="I27" s="186"/>
      <c r="K27" s="203"/>
      <c r="L27" s="294"/>
      <c r="M27" s="295"/>
      <c r="N27" s="295"/>
      <c r="O27" s="295"/>
      <c r="P27" s="296"/>
      <c r="Q27" s="229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5">
        <f>'Données projet'!A41</f>
        <v>45</v>
      </c>
      <c r="B28" s="176">
        <f>'Données projet'!D41</f>
        <v>66</v>
      </c>
      <c r="C28" s="188"/>
      <c r="D28" s="177">
        <f t="shared" si="2"/>
        <v>0</v>
      </c>
      <c r="E28" s="188"/>
      <c r="F28" s="228"/>
      <c r="G28" s="200"/>
      <c r="H28" s="185">
        <v>8</v>
      </c>
      <c r="I28" s="186"/>
      <c r="K28" s="203"/>
      <c r="Q28" s="229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5">
        <f>'Données projet'!A42</f>
        <v>50</v>
      </c>
      <c r="B29" s="176">
        <f>'Données projet'!D42</f>
        <v>48</v>
      </c>
      <c r="C29" s="188"/>
      <c r="D29" s="177">
        <f t="shared" si="2"/>
        <v>0</v>
      </c>
      <c r="E29" s="188"/>
      <c r="F29" s="228"/>
      <c r="G29" s="198"/>
      <c r="H29" s="185">
        <v>9</v>
      </c>
      <c r="I29" s="186"/>
      <c r="K29" s="203"/>
      <c r="O29" s="23"/>
      <c r="P29" s="23"/>
      <c r="Q29" s="229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5">
        <f>'Données projet'!A43</f>
        <v>55</v>
      </c>
      <c r="B30" s="176">
        <f>'Données projet'!D43</f>
        <v>35</v>
      </c>
      <c r="C30" s="188"/>
      <c r="D30" s="177">
        <f t="shared" si="2"/>
        <v>0</v>
      </c>
      <c r="E30" s="188"/>
      <c r="F30" s="228"/>
      <c r="G30" s="198"/>
      <c r="H30" s="185">
        <v>10</v>
      </c>
      <c r="I30" s="186"/>
      <c r="K30" s="178"/>
      <c r="L30" s="36" t="s">
        <v>259</v>
      </c>
      <c r="M30" s="179">
        <f ca="1">SUM(OFFSET($P$33,0,0,MIN('Données projet'!$E$9:$E$18)+1,1))</f>
        <v>0</v>
      </c>
      <c r="O30" s="4"/>
      <c r="P30" s="4"/>
      <c r="Q30" s="230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5">
        <f>'Données projet'!A44</f>
        <v>60</v>
      </c>
      <c r="B31" s="176">
        <f>'Données projet'!D44</f>
        <v>29</v>
      </c>
      <c r="C31" s="188"/>
      <c r="D31" s="177">
        <f t="shared" si="2"/>
        <v>0</v>
      </c>
      <c r="E31" s="188"/>
      <c r="F31" s="228"/>
      <c r="G31" s="198"/>
      <c r="H31" s="185">
        <v>11</v>
      </c>
      <c r="I31" s="186"/>
      <c r="K31" s="168"/>
      <c r="Q31" s="229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5">
        <f>'Données projet'!A45</f>
        <v>0</v>
      </c>
      <c r="B32" s="176">
        <f>'Données projet'!D45</f>
        <v>0</v>
      </c>
      <c r="C32" s="188"/>
      <c r="D32" s="177">
        <f t="shared" si="2"/>
        <v>0</v>
      </c>
      <c r="E32" s="188"/>
      <c r="F32" s="228"/>
      <c r="G32" s="198"/>
      <c r="H32" s="185">
        <v>12</v>
      </c>
      <c r="I32" s="186"/>
      <c r="K32" s="168"/>
      <c r="N32" s="4"/>
      <c r="O32" s="82" t="s">
        <v>178</v>
      </c>
      <c r="P32" s="82" t="s">
        <v>252</v>
      </c>
      <c r="Q32" s="229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5">
        <f>'Données projet'!A46</f>
        <v>0</v>
      </c>
      <c r="B33" s="176">
        <f>'Données projet'!D46</f>
        <v>0</v>
      </c>
      <c r="C33" s="188"/>
      <c r="D33" s="177">
        <f t="shared" si="2"/>
        <v>0</v>
      </c>
      <c r="E33" s="188"/>
      <c r="F33" s="228"/>
      <c r="G33" s="198"/>
      <c r="H33" s="185">
        <v>13</v>
      </c>
      <c r="I33" s="186"/>
      <c r="K33" s="168"/>
      <c r="L33" s="4"/>
      <c r="M33" s="4"/>
      <c r="N33" s="4"/>
      <c r="O33" s="189">
        <v>0</v>
      </c>
      <c r="P33" s="180">
        <f t="shared" ref="P33:P64" si="3">$P$25/(1+$M$4)^O33</f>
        <v>0</v>
      </c>
      <c r="Q33" s="229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5">
        <f>'Données projet'!A47</f>
        <v>0</v>
      </c>
      <c r="B34" s="176">
        <f>'Données projet'!D47</f>
        <v>0</v>
      </c>
      <c r="C34" s="188"/>
      <c r="D34" s="177">
        <f t="shared" si="2"/>
        <v>0</v>
      </c>
      <c r="E34" s="188"/>
      <c r="F34" s="228"/>
      <c r="G34" s="198"/>
      <c r="H34" s="185">
        <v>14</v>
      </c>
      <c r="I34" s="186"/>
      <c r="K34" s="168"/>
      <c r="L34" s="93"/>
      <c r="M34" s="93"/>
      <c r="N34" s="245"/>
      <c r="O34" s="189">
        <f>IF(O33+1&lt;=MIN('Données projet'!$E$9:$E$18),O33+1,"STOP")</f>
        <v>1</v>
      </c>
      <c r="P34" s="180">
        <f t="shared" si="3"/>
        <v>0</v>
      </c>
      <c r="Q34" s="229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5">
        <f>'Données projet'!A48</f>
        <v>0</v>
      </c>
      <c r="B35" s="176">
        <f>'Données projet'!D48</f>
        <v>0</v>
      </c>
      <c r="C35" s="188"/>
      <c r="D35" s="177">
        <f t="shared" si="2"/>
        <v>0</v>
      </c>
      <c r="E35" s="188"/>
      <c r="F35" s="228"/>
      <c r="G35" s="198"/>
      <c r="H35" s="185">
        <v>15</v>
      </c>
      <c r="I35" s="186"/>
      <c r="K35" s="168"/>
      <c r="L35" s="93"/>
      <c r="M35" s="93"/>
      <c r="N35" s="245"/>
      <c r="O35" s="189">
        <f>IF(O34+1&lt;=MIN('Données projet'!$E$9:$E$18),O34+1,"STOP")</f>
        <v>2</v>
      </c>
      <c r="P35" s="180">
        <f t="shared" si="3"/>
        <v>0</v>
      </c>
      <c r="Q35" s="229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5">
        <f>'Données projet'!A49</f>
        <v>0</v>
      </c>
      <c r="B36" s="176">
        <f>'Données projet'!D49</f>
        <v>0</v>
      </c>
      <c r="C36" s="188"/>
      <c r="D36" s="177">
        <f t="shared" si="2"/>
        <v>0</v>
      </c>
      <c r="E36" s="188"/>
      <c r="F36" s="228"/>
      <c r="G36" s="198"/>
      <c r="H36" s="185">
        <v>16</v>
      </c>
      <c r="I36" s="186"/>
      <c r="K36" s="168"/>
      <c r="L36" s="23"/>
      <c r="M36" s="23"/>
      <c r="N36" s="23"/>
      <c r="O36" s="189">
        <f>IF(O35+1&lt;=MIN('Données projet'!$E$9:$E$18),O35+1,"STOP")</f>
        <v>3</v>
      </c>
      <c r="P36" s="180">
        <f t="shared" si="3"/>
        <v>0</v>
      </c>
      <c r="Q36" s="229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5">
        <f>'Données projet'!A50</f>
        <v>0</v>
      </c>
      <c r="B37" s="176">
        <f>'Données projet'!D50</f>
        <v>0</v>
      </c>
      <c r="C37" s="188"/>
      <c r="D37" s="177">
        <f t="shared" si="2"/>
        <v>0</v>
      </c>
      <c r="E37" s="188"/>
      <c r="F37" s="228"/>
      <c r="G37" s="198"/>
      <c r="H37" s="185">
        <v>17</v>
      </c>
      <c r="I37" s="186"/>
      <c r="K37" s="168"/>
      <c r="L37" s="23"/>
      <c r="M37" s="23"/>
      <c r="N37" s="23"/>
      <c r="O37" s="189">
        <f>IF(O36+1&lt;=MIN('Données projet'!$E$9:$E$18),O36+1,"STOP")</f>
        <v>4</v>
      </c>
      <c r="P37" s="180">
        <f t="shared" si="3"/>
        <v>0</v>
      </c>
      <c r="Q37" s="229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5">
        <f>'Données projet'!A51</f>
        <v>0</v>
      </c>
      <c r="B38" s="176">
        <f>'Données projet'!D51</f>
        <v>0</v>
      </c>
      <c r="C38" s="188"/>
      <c r="D38" s="177">
        <f t="shared" si="2"/>
        <v>0</v>
      </c>
      <c r="E38" s="188"/>
      <c r="F38" s="228"/>
      <c r="G38" s="198"/>
      <c r="H38" s="185">
        <v>18</v>
      </c>
      <c r="I38" s="186"/>
      <c r="K38" s="168"/>
      <c r="L38" s="23"/>
      <c r="M38" s="23"/>
      <c r="N38" s="23"/>
      <c r="O38" s="189">
        <f>IF(O37+1&lt;=MIN('Données projet'!$E$9:$E$18),O37+1,"STOP")</f>
        <v>5</v>
      </c>
      <c r="P38" s="180">
        <f t="shared" si="3"/>
        <v>0</v>
      </c>
      <c r="Q38" s="229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5">
        <f>'Données projet'!A52</f>
        <v>0</v>
      </c>
      <c r="B39" s="176">
        <f>'Données projet'!D52</f>
        <v>0</v>
      </c>
      <c r="C39" s="188"/>
      <c r="D39" s="177">
        <f t="shared" si="2"/>
        <v>0</v>
      </c>
      <c r="E39" s="188"/>
      <c r="F39" s="228"/>
      <c r="G39" s="198"/>
      <c r="H39" s="185">
        <v>19</v>
      </c>
      <c r="I39" s="186"/>
      <c r="K39" s="203"/>
      <c r="L39" s="23"/>
      <c r="M39" s="23"/>
      <c r="N39" s="23"/>
      <c r="O39" s="189">
        <f>IF(O38+1&lt;=MIN('Données projet'!$E$9:$E$18),O38+1,"STOP")</f>
        <v>6</v>
      </c>
      <c r="P39" s="180">
        <f t="shared" si="3"/>
        <v>0</v>
      </c>
      <c r="Q39" s="229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5">
        <f>'Données projet'!A53</f>
        <v>0</v>
      </c>
      <c r="B40" s="176">
        <f>'Données projet'!D53</f>
        <v>0</v>
      </c>
      <c r="C40" s="188"/>
      <c r="D40" s="177">
        <f t="shared" si="2"/>
        <v>0</v>
      </c>
      <c r="E40" s="188"/>
      <c r="F40" s="228"/>
      <c r="G40" s="198"/>
      <c r="H40" s="185">
        <v>20</v>
      </c>
      <c r="I40" s="186"/>
      <c r="K40" s="203"/>
      <c r="L40" s="23"/>
      <c r="M40" s="23"/>
      <c r="N40" s="23"/>
      <c r="O40" s="189">
        <f>IF(O39+1&lt;=MIN('Données projet'!$E$9:$E$18),O39+1,"STOP")</f>
        <v>7</v>
      </c>
      <c r="P40" s="180">
        <f t="shared" si="3"/>
        <v>0</v>
      </c>
      <c r="Q40" s="229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5">
        <f>'Données projet'!A54</f>
        <v>0</v>
      </c>
      <c r="B41" s="176">
        <f>'Données projet'!D54</f>
        <v>0</v>
      </c>
      <c r="C41" s="188"/>
      <c r="D41" s="177">
        <f t="shared" si="2"/>
        <v>0</v>
      </c>
      <c r="E41" s="188"/>
      <c r="F41" s="228"/>
      <c r="G41" s="198"/>
      <c r="H41" s="185">
        <v>21</v>
      </c>
      <c r="I41" s="186"/>
      <c r="K41" s="203"/>
      <c r="L41" s="23"/>
      <c r="M41" s="23"/>
      <c r="N41" s="23"/>
      <c r="O41" s="189">
        <f>IF(O40+1&lt;=MIN('Données projet'!$E$9:$E$18),O40+1,"STOP")</f>
        <v>8</v>
      </c>
      <c r="P41" s="180">
        <f t="shared" si="3"/>
        <v>0</v>
      </c>
      <c r="Q41" s="229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5">
        <f>'Données projet'!A55</f>
        <v>0</v>
      </c>
      <c r="B42" s="176">
        <f>'Données projet'!D55</f>
        <v>0</v>
      </c>
      <c r="C42" s="188"/>
      <c r="D42" s="177">
        <f t="shared" si="2"/>
        <v>0</v>
      </c>
      <c r="E42" s="188"/>
      <c r="F42" s="228"/>
      <c r="G42" s="198"/>
      <c r="H42" s="185">
        <v>22</v>
      </c>
      <c r="I42" s="186"/>
      <c r="K42" s="203"/>
      <c r="L42" s="23"/>
      <c r="M42" s="23"/>
      <c r="N42" s="23"/>
      <c r="O42" s="189">
        <f>IF(O41+1&lt;=MIN('Données projet'!$E$9:$E$18),O41+1,"STOP")</f>
        <v>9</v>
      </c>
      <c r="P42" s="180">
        <f t="shared" si="3"/>
        <v>0</v>
      </c>
      <c r="Q42" s="229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2"/>
      <c r="B43" s="182"/>
      <c r="C43" s="182"/>
      <c r="D43" s="222"/>
      <c r="E43" s="222"/>
      <c r="F43" s="233"/>
      <c r="G43" s="198"/>
      <c r="H43" s="185">
        <v>23</v>
      </c>
      <c r="I43" s="186"/>
      <c r="K43" s="203"/>
      <c r="L43" s="23"/>
      <c r="M43" s="23"/>
      <c r="N43" s="23"/>
      <c r="O43" s="189">
        <f>IF(O42+1&lt;=MIN('Données projet'!$E$9:$E$18),O42+1,"STOP")</f>
        <v>10</v>
      </c>
      <c r="P43" s="180">
        <f t="shared" si="3"/>
        <v>0</v>
      </c>
      <c r="Q43" s="230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5"/>
      <c r="G44" s="198"/>
      <c r="H44" s="185">
        <v>24</v>
      </c>
      <c r="I44" s="186"/>
      <c r="K44" s="203"/>
      <c r="L44" s="23"/>
      <c r="M44" s="23"/>
      <c r="N44" s="23"/>
      <c r="O44" s="189">
        <f>IF(O43+1&lt;=MIN('Données projet'!$E$9:$E$18),O43+1,"STOP")</f>
        <v>11</v>
      </c>
      <c r="P44" s="180">
        <f t="shared" si="3"/>
        <v>0</v>
      </c>
      <c r="Q44" s="230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69" t="str">
        <f>IF('Données projet'!$B$10="","",'Données projet'!$B$10)</f>
        <v>Cèdre de l'Atlas</v>
      </c>
      <c r="C45" s="4"/>
      <c r="D45" s="4"/>
      <c r="E45" s="4"/>
      <c r="F45" s="225"/>
      <c r="G45" s="198"/>
      <c r="H45" s="185">
        <v>25</v>
      </c>
      <c r="I45" s="186"/>
      <c r="J45" s="23"/>
      <c r="K45" s="203"/>
      <c r="L45" s="23"/>
      <c r="M45" s="23"/>
      <c r="N45" s="23"/>
      <c r="O45" s="189">
        <f>IF(O44+1&lt;=MIN('Données projet'!$E$9:$E$18),O44+1,"STOP")</f>
        <v>12</v>
      </c>
      <c r="P45" s="180">
        <f t="shared" si="3"/>
        <v>0</v>
      </c>
      <c r="Q45" s="230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5"/>
      <c r="G46" s="198"/>
      <c r="H46" s="185">
        <v>26</v>
      </c>
      <c r="I46" s="186"/>
      <c r="J46" s="23"/>
      <c r="K46" s="203"/>
      <c r="L46" s="199"/>
      <c r="M46" s="199"/>
      <c r="N46" s="199"/>
      <c r="O46" s="189">
        <f>IF(O45+1&lt;=MIN('Données projet'!$E$9:$E$18),O45+1,"STOP")</f>
        <v>13</v>
      </c>
      <c r="P46" s="183">
        <f t="shared" si="3"/>
        <v>0</v>
      </c>
      <c r="Q46" s="230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6"/>
      <c r="G47" s="198"/>
      <c r="H47" s="185">
        <v>27</v>
      </c>
      <c r="I47" s="186"/>
      <c r="J47" s="23"/>
      <c r="K47" s="203"/>
      <c r="L47" s="4"/>
      <c r="M47" s="4"/>
      <c r="N47" s="4"/>
      <c r="O47" s="189">
        <f>IF(O46+1&lt;=MIN('Données projet'!$E$9:$E$18),O46+1,"STOP")</f>
        <v>14</v>
      </c>
      <c r="P47" s="180">
        <f t="shared" si="3"/>
        <v>0</v>
      </c>
      <c r="Q47" s="230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4" t="s">
        <v>132</v>
      </c>
      <c r="C48" s="193" t="s">
        <v>132</v>
      </c>
      <c r="D48" s="192" t="s">
        <v>132</v>
      </c>
      <c r="E48" s="261">
        <v>4074.02</v>
      </c>
      <c r="F48" s="226"/>
      <c r="G48" s="198"/>
      <c r="H48" s="185">
        <v>28</v>
      </c>
      <c r="I48" s="186"/>
      <c r="J48" s="23"/>
      <c r="K48" s="203"/>
      <c r="L48" s="4"/>
      <c r="M48" s="4"/>
      <c r="N48" s="4"/>
      <c r="O48" s="189">
        <f>IF(O47+1&lt;=MIN('Données projet'!$E$9:$E$18),O47+1,"STOP")</f>
        <v>15</v>
      </c>
      <c r="P48" s="180">
        <f t="shared" si="3"/>
        <v>0</v>
      </c>
      <c r="Q48" s="230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0" customFormat="1" ht="17.25" customHeight="1" x14ac:dyDescent="0.3">
      <c r="A49" s="49">
        <v>1</v>
      </c>
      <c r="B49" s="194" t="s">
        <v>132</v>
      </c>
      <c r="C49" s="193" t="s">
        <v>132</v>
      </c>
      <c r="D49" s="192" t="s">
        <v>132</v>
      </c>
      <c r="E49" s="188"/>
      <c r="F49" s="226"/>
      <c r="G49" s="199"/>
      <c r="H49" s="185">
        <v>29</v>
      </c>
      <c r="I49" s="186"/>
      <c r="J49" s="199"/>
      <c r="K49" s="205"/>
      <c r="L49" s="4"/>
      <c r="M49" s="4"/>
      <c r="N49" s="4"/>
      <c r="O49" s="189">
        <f>IF(O48+1&lt;=MIN('Données projet'!$E$9:$E$18),O48+1,"STOP")</f>
        <v>16</v>
      </c>
      <c r="P49" s="180">
        <f t="shared" si="3"/>
        <v>0</v>
      </c>
      <c r="Q49" s="231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</row>
    <row r="50" spans="1:56" x14ac:dyDescent="0.3">
      <c r="A50" s="49">
        <v>2</v>
      </c>
      <c r="B50" s="194" t="s">
        <v>132</v>
      </c>
      <c r="C50" s="193" t="s">
        <v>132</v>
      </c>
      <c r="D50" s="192" t="s">
        <v>132</v>
      </c>
      <c r="E50" s="188"/>
      <c r="F50" s="226"/>
      <c r="G50" s="23"/>
      <c r="H50" s="185">
        <v>30</v>
      </c>
      <c r="I50" s="186"/>
      <c r="J50" s="23"/>
      <c r="K50" s="168"/>
      <c r="L50" s="4"/>
      <c r="M50" s="4"/>
      <c r="N50" s="4"/>
      <c r="O50" s="189">
        <f>IF(O49+1&lt;=MIN('Données projet'!$E$9:$E$18),O49+1,"STOP")</f>
        <v>17</v>
      </c>
      <c r="P50" s="180">
        <f t="shared" si="3"/>
        <v>0</v>
      </c>
      <c r="Q50" s="230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4" t="s">
        <v>132</v>
      </c>
      <c r="C51" s="193" t="s">
        <v>132</v>
      </c>
      <c r="D51" s="192" t="s">
        <v>132</v>
      </c>
      <c r="E51" s="188"/>
      <c r="F51" s="226"/>
      <c r="G51" s="23"/>
      <c r="H51" s="185"/>
      <c r="I51" s="186"/>
      <c r="J51" s="23"/>
      <c r="K51" s="168"/>
      <c r="L51" s="4"/>
      <c r="M51" s="4"/>
      <c r="N51" s="4"/>
      <c r="O51" s="189">
        <f>IF(O50+1&lt;=MIN('Données projet'!$E$9:$E$18),O50+1,"STOP")</f>
        <v>18</v>
      </c>
      <c r="P51" s="180">
        <f t="shared" si="3"/>
        <v>0</v>
      </c>
      <c r="Q51" s="230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4" t="s">
        <v>132</v>
      </c>
      <c r="C52" s="193" t="s">
        <v>132</v>
      </c>
      <c r="D52" s="192" t="s">
        <v>132</v>
      </c>
      <c r="E52" s="188"/>
      <c r="F52" s="226"/>
      <c r="G52" s="23"/>
      <c r="H52" s="185"/>
      <c r="I52" s="186"/>
      <c r="J52" s="23"/>
      <c r="K52" s="168"/>
      <c r="L52" s="4"/>
      <c r="M52" s="4"/>
      <c r="N52" s="4"/>
      <c r="O52" s="189">
        <f>IF(O51+1&lt;=MIN('Données projet'!$E$9:$E$18),O51+1,"STOP")</f>
        <v>19</v>
      </c>
      <c r="P52" s="180">
        <f t="shared" si="3"/>
        <v>0</v>
      </c>
      <c r="Q52" s="230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4" t="s">
        <v>132</v>
      </c>
      <c r="C53" s="193" t="s">
        <v>132</v>
      </c>
      <c r="D53" s="192" t="s">
        <v>132</v>
      </c>
      <c r="E53" s="188"/>
      <c r="F53" s="226"/>
      <c r="G53" s="200"/>
      <c r="H53" s="185"/>
      <c r="I53" s="186"/>
      <c r="J53" s="23"/>
      <c r="K53" s="168"/>
      <c r="L53" s="4"/>
      <c r="M53" s="4"/>
      <c r="N53" s="4"/>
      <c r="O53" s="189">
        <f>IF(O52+1&lt;=MIN('Données projet'!$E$9:$E$18),O52+1,"STOP")</f>
        <v>20</v>
      </c>
      <c r="P53" s="180">
        <f t="shared" si="3"/>
        <v>0</v>
      </c>
      <c r="Q53" s="230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5">
        <f>'Données projet'!A62</f>
        <v>15</v>
      </c>
      <c r="B54" s="176">
        <f>'Données projet'!D62</f>
        <v>0</v>
      </c>
      <c r="C54" s="188"/>
      <c r="D54" s="174">
        <f>B54*C54</f>
        <v>0</v>
      </c>
      <c r="E54" s="188"/>
      <c r="F54" s="227"/>
      <c r="G54" s="200"/>
      <c r="H54" s="185"/>
      <c r="I54" s="186"/>
      <c r="J54" s="23"/>
      <c r="K54" s="168"/>
      <c r="L54" s="4"/>
      <c r="M54" s="4"/>
      <c r="N54" s="4"/>
      <c r="O54" s="189">
        <f>IF(O53+1&lt;=MIN('Données projet'!$E$9:$E$18),O53+1,"STOP")</f>
        <v>21</v>
      </c>
      <c r="P54" s="180">
        <f t="shared" si="3"/>
        <v>0</v>
      </c>
      <c r="Q54" s="230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5">
        <f>'Données projet'!A63</f>
        <v>20</v>
      </c>
      <c r="B55" s="176">
        <f>'Données projet'!D63</f>
        <v>72</v>
      </c>
      <c r="C55" s="188">
        <v>10</v>
      </c>
      <c r="D55" s="174">
        <f t="shared" ref="D55:D73" si="4">B55*C55</f>
        <v>720</v>
      </c>
      <c r="E55" s="188"/>
      <c r="F55" s="227"/>
      <c r="G55" s="200"/>
      <c r="H55" s="185"/>
      <c r="I55" s="186"/>
      <c r="J55" s="23"/>
      <c r="K55" s="168"/>
      <c r="L55" s="4"/>
      <c r="M55" s="4"/>
      <c r="N55" s="4"/>
      <c r="O55" s="189">
        <f>IF(O54+1&lt;=MIN('Données projet'!$E$9:$E$18),O54+1,"STOP")</f>
        <v>22</v>
      </c>
      <c r="P55" s="180">
        <f t="shared" si="3"/>
        <v>0</v>
      </c>
      <c r="Q55" s="230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5">
        <f>'Données projet'!A64</f>
        <v>25</v>
      </c>
      <c r="B56" s="176">
        <f>'Données projet'!D64</f>
        <v>84</v>
      </c>
      <c r="C56" s="188">
        <v>10</v>
      </c>
      <c r="D56" s="174">
        <f t="shared" si="4"/>
        <v>840</v>
      </c>
      <c r="E56" s="188"/>
      <c r="F56" s="227"/>
      <c r="G56" s="200"/>
      <c r="H56" s="185"/>
      <c r="I56" s="186"/>
      <c r="J56" s="23"/>
      <c r="K56" s="168"/>
      <c r="L56" s="4"/>
      <c r="M56" s="4"/>
      <c r="N56" s="4"/>
      <c r="O56" s="189">
        <f>IF(O55+1&lt;=MIN('Données projet'!$E$9:$E$18),O55+1,"STOP")</f>
        <v>23</v>
      </c>
      <c r="P56" s="180">
        <f t="shared" si="3"/>
        <v>0</v>
      </c>
      <c r="Q56" s="230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5">
        <f>'Données projet'!A65</f>
        <v>30</v>
      </c>
      <c r="B57" s="176">
        <f>'Données projet'!D65</f>
        <v>84</v>
      </c>
      <c r="C57" s="186">
        <v>10</v>
      </c>
      <c r="D57" s="174">
        <f t="shared" si="4"/>
        <v>840</v>
      </c>
      <c r="E57" s="188"/>
      <c r="F57" s="227"/>
      <c r="G57" s="200"/>
      <c r="H57" s="185"/>
      <c r="I57" s="186"/>
      <c r="J57" s="23"/>
      <c r="K57" s="168"/>
      <c r="L57" s="4"/>
      <c r="M57" s="4"/>
      <c r="N57" s="4"/>
      <c r="O57" s="189">
        <f>IF(O56+1&lt;=MIN('Données projet'!$E$9:$E$18),O56+1,"STOP")</f>
        <v>24</v>
      </c>
      <c r="P57" s="180">
        <f t="shared" si="3"/>
        <v>0</v>
      </c>
      <c r="Q57" s="230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5">
        <f>'Données projet'!A66</f>
        <v>35</v>
      </c>
      <c r="B58" s="176">
        <f>'Données projet'!D66</f>
        <v>84</v>
      </c>
      <c r="C58" s="186"/>
      <c r="D58" s="174">
        <f t="shared" si="4"/>
        <v>0</v>
      </c>
      <c r="E58" s="188"/>
      <c r="F58" s="227"/>
      <c r="G58" s="200"/>
      <c r="H58" s="185"/>
      <c r="I58" s="186"/>
      <c r="J58" s="23"/>
      <c r="K58" s="168"/>
      <c r="L58" s="4"/>
      <c r="M58" s="4"/>
      <c r="N58" s="4"/>
      <c r="O58" s="189">
        <f>IF(O57+1&lt;=MIN('Données projet'!$E$9:$E$18),O57+1,"STOP")</f>
        <v>25</v>
      </c>
      <c r="P58" s="180">
        <f t="shared" si="3"/>
        <v>0</v>
      </c>
      <c r="Q58" s="230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5">
        <f>'Données projet'!A67</f>
        <v>40</v>
      </c>
      <c r="B59" s="176">
        <f>'Données projet'!D67</f>
        <v>84</v>
      </c>
      <c r="C59" s="186"/>
      <c r="D59" s="174">
        <f t="shared" si="4"/>
        <v>0</v>
      </c>
      <c r="E59" s="188"/>
      <c r="F59" s="227"/>
      <c r="G59" s="200"/>
      <c r="H59" s="185"/>
      <c r="I59" s="186"/>
      <c r="J59" s="23"/>
      <c r="K59" s="168"/>
      <c r="L59" s="4"/>
      <c r="M59" s="4"/>
      <c r="N59" s="4"/>
      <c r="O59" s="189">
        <f>IF(O58+1&lt;=MIN('Données projet'!$E$9:$E$18),O58+1,"STOP")</f>
        <v>26</v>
      </c>
      <c r="P59" s="180">
        <f t="shared" si="3"/>
        <v>0</v>
      </c>
      <c r="Q59" s="230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5">
        <f>'Données projet'!A68</f>
        <v>45</v>
      </c>
      <c r="B60" s="176">
        <f>'Données projet'!D68</f>
        <v>84</v>
      </c>
      <c r="C60" s="186"/>
      <c r="D60" s="174">
        <f t="shared" si="4"/>
        <v>0</v>
      </c>
      <c r="E60" s="188"/>
      <c r="F60" s="227"/>
      <c r="G60" s="201"/>
      <c r="H60" s="185"/>
      <c r="I60" s="186"/>
      <c r="J60" s="23"/>
      <c r="K60" s="168"/>
      <c r="L60" s="4"/>
      <c r="M60" s="4"/>
      <c r="N60" s="4"/>
      <c r="O60" s="189">
        <f>IF(O59+1&lt;=MIN('Données projet'!$E$9:$E$18),O59+1,"STOP")</f>
        <v>27</v>
      </c>
      <c r="P60" s="180">
        <f t="shared" si="3"/>
        <v>0</v>
      </c>
      <c r="Q60" s="230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5">
        <f>'Données projet'!A69</f>
        <v>50</v>
      </c>
      <c r="B61" s="176">
        <f>'Données projet'!D69</f>
        <v>79</v>
      </c>
      <c r="C61" s="186"/>
      <c r="D61" s="174">
        <f t="shared" si="4"/>
        <v>0</v>
      </c>
      <c r="E61" s="188"/>
      <c r="F61" s="227"/>
      <c r="G61" s="201"/>
      <c r="H61" s="185"/>
      <c r="I61" s="186"/>
      <c r="J61" s="23"/>
      <c r="K61" s="168"/>
      <c r="L61" s="4"/>
      <c r="M61" s="4"/>
      <c r="N61" s="4"/>
      <c r="O61" s="189">
        <f>IF(O60+1&lt;=MIN('Données projet'!$E$9:$E$18),O60+1,"STOP")</f>
        <v>28</v>
      </c>
      <c r="P61" s="180">
        <f t="shared" si="3"/>
        <v>0</v>
      </c>
      <c r="Q61" s="230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5">
        <f>'Données projet'!A70</f>
        <v>55</v>
      </c>
      <c r="B62" s="176">
        <f>'Données projet'!D70</f>
        <v>70</v>
      </c>
      <c r="C62" s="186"/>
      <c r="D62" s="174">
        <f t="shared" si="4"/>
        <v>0</v>
      </c>
      <c r="E62" s="188"/>
      <c r="F62" s="227"/>
      <c r="G62" s="201"/>
      <c r="H62" s="185"/>
      <c r="I62" s="186"/>
      <c r="J62" s="23"/>
      <c r="K62" s="168"/>
      <c r="L62" s="4"/>
      <c r="M62" s="4"/>
      <c r="N62" s="4"/>
      <c r="O62" s="189">
        <f>IF(O61+1&lt;=MIN('Données projet'!$E$9:$E$18),O61+1,"STOP")</f>
        <v>29</v>
      </c>
      <c r="P62" s="180">
        <f t="shared" si="3"/>
        <v>0</v>
      </c>
      <c r="Q62" s="230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5">
        <f>'Données projet'!A71</f>
        <v>60</v>
      </c>
      <c r="B63" s="176">
        <f>'Données projet'!D71</f>
        <v>64</v>
      </c>
      <c r="C63" s="186"/>
      <c r="D63" s="174">
        <f t="shared" si="4"/>
        <v>0</v>
      </c>
      <c r="E63" s="188"/>
      <c r="F63" s="227"/>
      <c r="G63" s="201"/>
      <c r="H63" s="185"/>
      <c r="I63" s="186"/>
      <c r="J63" s="23"/>
      <c r="K63" s="168"/>
      <c r="L63" s="4"/>
      <c r="M63" s="4"/>
      <c r="N63" s="4"/>
      <c r="O63" s="189">
        <f>IF(O62+1&lt;=MIN('Données projet'!$E$9:$E$18),O62+1,"STOP")</f>
        <v>30</v>
      </c>
      <c r="P63" s="180">
        <f t="shared" si="3"/>
        <v>0</v>
      </c>
      <c r="Q63" s="230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5">
        <f>'Données projet'!A72</f>
        <v>65</v>
      </c>
      <c r="B64" s="176">
        <f>'Données projet'!D72</f>
        <v>60</v>
      </c>
      <c r="C64" s="186"/>
      <c r="D64" s="174">
        <f t="shared" si="4"/>
        <v>0</v>
      </c>
      <c r="E64" s="188"/>
      <c r="F64" s="227"/>
      <c r="G64" s="201"/>
      <c r="H64" s="185"/>
      <c r="I64" s="186"/>
      <c r="J64" s="202"/>
      <c r="K64" s="168"/>
      <c r="L64" s="4"/>
      <c r="M64" s="4"/>
      <c r="N64" s="4"/>
      <c r="O64" s="189" t="str">
        <f>IF(O63+1&lt;=MIN('Données projet'!$E$9:$E$18),O63+1,"STOP")</f>
        <v>STOP</v>
      </c>
      <c r="P64" s="180" t="e">
        <f t="shared" si="3"/>
        <v>#VALUE!</v>
      </c>
      <c r="Q64" s="230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5">
        <f>'Données projet'!A73</f>
        <v>70</v>
      </c>
      <c r="B65" s="176">
        <f>'Données projet'!D73</f>
        <v>56</v>
      </c>
      <c r="C65" s="186"/>
      <c r="D65" s="174">
        <f t="shared" si="4"/>
        <v>0</v>
      </c>
      <c r="E65" s="188"/>
      <c r="F65" s="227"/>
      <c r="G65" s="201"/>
      <c r="H65" s="185"/>
      <c r="I65" s="186"/>
      <c r="J65" s="184"/>
      <c r="K65" s="168"/>
      <c r="L65" s="4"/>
      <c r="M65" s="4"/>
      <c r="N65" s="4"/>
      <c r="O65" s="189" t="e">
        <f>IF(O64+1&lt;=MIN('Données projet'!$E$9:$E$18),O64+1,"STOP")</f>
        <v>#VALUE!</v>
      </c>
      <c r="P65" s="180" t="e">
        <f t="shared" ref="P65:P96" si="5">$P$25/(1+$M$4)^O65</f>
        <v>#VALUE!</v>
      </c>
      <c r="Q65" s="230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5">
        <f>'Données projet'!A74</f>
        <v>75</v>
      </c>
      <c r="B66" s="176">
        <f>'Données projet'!D74</f>
        <v>54</v>
      </c>
      <c r="C66" s="186"/>
      <c r="D66" s="174">
        <f t="shared" si="4"/>
        <v>0</v>
      </c>
      <c r="E66" s="188"/>
      <c r="F66" s="227"/>
      <c r="G66" s="201"/>
      <c r="H66" s="185"/>
      <c r="I66" s="186"/>
      <c r="J66" s="184"/>
      <c r="K66" s="168"/>
      <c r="L66" s="4"/>
      <c r="M66" s="4"/>
      <c r="N66" s="4"/>
      <c r="O66" s="189" t="e">
        <f>IF(O65+1&lt;=MIN('Données projet'!$E$9:$E$18),O65+1,"STOP")</f>
        <v>#VALUE!</v>
      </c>
      <c r="P66" s="180" t="e">
        <f t="shared" si="5"/>
        <v>#VALUE!</v>
      </c>
      <c r="Q66" s="230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5">
        <f>'Données projet'!A75</f>
        <v>80</v>
      </c>
      <c r="B67" s="176">
        <f>'Données projet'!D75</f>
        <v>52</v>
      </c>
      <c r="C67" s="186"/>
      <c r="D67" s="174">
        <f t="shared" si="4"/>
        <v>0</v>
      </c>
      <c r="E67" s="188"/>
      <c r="F67" s="227"/>
      <c r="G67" s="201"/>
      <c r="H67" s="185"/>
      <c r="I67" s="186"/>
      <c r="J67" s="184"/>
      <c r="K67" s="168"/>
      <c r="L67" s="4"/>
      <c r="M67" s="4"/>
      <c r="N67" s="4"/>
      <c r="O67" s="189" t="e">
        <f>IF(O66+1&lt;=MIN('Données projet'!$E$9:$E$18),O66+1,"STOP")</f>
        <v>#VALUE!</v>
      </c>
      <c r="P67" s="180" t="e">
        <f t="shared" si="5"/>
        <v>#VALUE!</v>
      </c>
      <c r="Q67" s="230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5">
        <f>'Données projet'!A76</f>
        <v>0</v>
      </c>
      <c r="B68" s="176">
        <f>'Données projet'!D76</f>
        <v>0</v>
      </c>
      <c r="C68" s="186"/>
      <c r="D68" s="174">
        <f t="shared" si="4"/>
        <v>0</v>
      </c>
      <c r="E68" s="188"/>
      <c r="F68" s="227"/>
      <c r="G68" s="201"/>
      <c r="H68" s="185"/>
      <c r="I68" s="186"/>
      <c r="J68" s="184"/>
      <c r="K68" s="168"/>
      <c r="L68" s="4"/>
      <c r="M68" s="4"/>
      <c r="N68" s="4"/>
      <c r="O68" s="189" t="e">
        <f>IF(O67+1&lt;=MIN('Données projet'!$E$9:$E$18),O67+1,"STOP")</f>
        <v>#VALUE!</v>
      </c>
      <c r="P68" s="180" t="e">
        <f t="shared" si="5"/>
        <v>#VALUE!</v>
      </c>
      <c r="Q68" s="230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5">
        <f>'Données projet'!A77</f>
        <v>0</v>
      </c>
      <c r="B69" s="176">
        <f>'Données projet'!D77</f>
        <v>0</v>
      </c>
      <c r="C69" s="186"/>
      <c r="D69" s="174">
        <f t="shared" si="4"/>
        <v>0</v>
      </c>
      <c r="E69" s="188"/>
      <c r="F69" s="227"/>
      <c r="G69" s="201"/>
      <c r="H69" s="185"/>
      <c r="I69" s="186"/>
      <c r="J69" s="184"/>
      <c r="K69" s="168"/>
      <c r="L69" s="4"/>
      <c r="M69" s="4"/>
      <c r="N69" s="4"/>
      <c r="O69" s="189" t="e">
        <f>IF(O68+1&lt;=MIN('Données projet'!$E$9:$E$18),O68+1,"STOP")</f>
        <v>#VALUE!</v>
      </c>
      <c r="P69" s="180" t="e">
        <f t="shared" si="5"/>
        <v>#VALUE!</v>
      </c>
      <c r="Q69" s="230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5">
        <f>'Données projet'!A78</f>
        <v>0</v>
      </c>
      <c r="B70" s="176">
        <f>'Données projet'!D78</f>
        <v>0</v>
      </c>
      <c r="C70" s="186"/>
      <c r="D70" s="174">
        <f t="shared" si="4"/>
        <v>0</v>
      </c>
      <c r="E70" s="188"/>
      <c r="F70" s="227"/>
      <c r="G70" s="201"/>
      <c r="H70" s="185"/>
      <c r="I70" s="186"/>
      <c r="J70" s="184"/>
      <c r="K70" s="168"/>
      <c r="L70" s="4"/>
      <c r="M70" s="4"/>
      <c r="N70" s="4"/>
      <c r="O70" s="189" t="e">
        <f>IF(O69+1&lt;=MIN('Données projet'!$E$9:$E$18),O69+1,"STOP")</f>
        <v>#VALUE!</v>
      </c>
      <c r="P70" s="180" t="e">
        <f t="shared" si="5"/>
        <v>#VALUE!</v>
      </c>
      <c r="Q70" s="230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5">
        <f>'Données projet'!A79</f>
        <v>0</v>
      </c>
      <c r="B71" s="176">
        <f>'Données projet'!D79</f>
        <v>0</v>
      </c>
      <c r="C71" s="186"/>
      <c r="D71" s="174">
        <f t="shared" si="4"/>
        <v>0</v>
      </c>
      <c r="E71" s="188"/>
      <c r="F71" s="227"/>
      <c r="G71" s="201"/>
      <c r="H71" s="185"/>
      <c r="I71" s="186"/>
      <c r="J71" s="184"/>
      <c r="K71" s="168"/>
      <c r="L71" s="4"/>
      <c r="M71" s="4"/>
      <c r="N71" s="4"/>
      <c r="O71" s="189" t="e">
        <f>IF(O70+1&lt;=MIN('Données projet'!$E$9:$E$18),O70+1,"STOP")</f>
        <v>#VALUE!</v>
      </c>
      <c r="P71" s="180" t="e">
        <f t="shared" si="5"/>
        <v>#VALUE!</v>
      </c>
      <c r="Q71" s="230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5">
        <f>'Données projet'!A80</f>
        <v>0</v>
      </c>
      <c r="B72" s="176">
        <f>'Données projet'!D80</f>
        <v>0</v>
      </c>
      <c r="C72" s="186"/>
      <c r="D72" s="174">
        <f t="shared" si="4"/>
        <v>0</v>
      </c>
      <c r="E72" s="188"/>
      <c r="F72" s="227"/>
      <c r="G72" s="201"/>
      <c r="H72" s="185"/>
      <c r="I72" s="186"/>
      <c r="J72" s="4"/>
      <c r="K72" s="168"/>
      <c r="L72" s="4"/>
      <c r="M72" s="4"/>
      <c r="N72" s="4"/>
      <c r="O72" s="189" t="e">
        <f>IF(O71+1&lt;=MIN('Données projet'!$E$9:$E$18),O71+1,"STOP")</f>
        <v>#VALUE!</v>
      </c>
      <c r="P72" s="180" t="e">
        <f t="shared" si="5"/>
        <v>#VALUE!</v>
      </c>
      <c r="Q72" s="230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5">
        <f>'Données projet'!A81</f>
        <v>0</v>
      </c>
      <c r="B73" s="176">
        <f>'Données projet'!D81</f>
        <v>0</v>
      </c>
      <c r="C73" s="186"/>
      <c r="D73" s="174">
        <f t="shared" si="4"/>
        <v>0</v>
      </c>
      <c r="E73" s="188"/>
      <c r="F73" s="227"/>
      <c r="G73" s="201"/>
      <c r="H73" s="185"/>
      <c r="I73" s="186"/>
      <c r="J73" s="4"/>
      <c r="K73" s="168"/>
      <c r="L73" s="4"/>
      <c r="M73" s="4"/>
      <c r="N73" s="4"/>
      <c r="O73" s="189" t="e">
        <f>IF(O72+1&lt;=MIN('Données projet'!$E$9:$E$18),O72+1,"STOP")</f>
        <v>#VALUE!</v>
      </c>
      <c r="P73" s="180" t="e">
        <f t="shared" si="5"/>
        <v>#VALUE!</v>
      </c>
      <c r="Q73" s="230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5"/>
      <c r="G74" s="201"/>
      <c r="H74" s="185"/>
      <c r="I74" s="186"/>
      <c r="J74" s="4"/>
      <c r="K74" s="168"/>
      <c r="L74" s="4"/>
      <c r="M74" s="4"/>
      <c r="N74" s="4"/>
      <c r="O74" s="189" t="e">
        <f>IF(O73+1&lt;=MIN('Données projet'!$E$9:$E$18),O73+1,"STOP")</f>
        <v>#VALUE!</v>
      </c>
      <c r="P74" s="180" t="e">
        <f t="shared" si="5"/>
        <v>#VALUE!</v>
      </c>
      <c r="Q74" s="230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5"/>
      <c r="G75" s="201"/>
      <c r="H75" s="185"/>
      <c r="I75" s="186"/>
      <c r="J75" s="4"/>
      <c r="K75" s="168"/>
      <c r="L75" s="4"/>
      <c r="M75" s="4"/>
      <c r="N75" s="4"/>
      <c r="O75" s="189" t="e">
        <f>IF(O74+1&lt;=MIN('Données projet'!$E$9:$E$18),O74+1,"STOP")</f>
        <v>#VALUE!</v>
      </c>
      <c r="P75" s="180" t="e">
        <f t="shared" si="5"/>
        <v>#VALUE!</v>
      </c>
      <c r="Q75" s="230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69" t="str">
        <f>IF('Données projet'!B11="","",'Données projet'!B11)</f>
        <v>Sapin de Nordmann</v>
      </c>
      <c r="C76" s="4"/>
      <c r="D76" s="4"/>
      <c r="E76" s="4"/>
      <c r="F76" s="225"/>
      <c r="G76" s="201"/>
      <c r="H76" s="185"/>
      <c r="I76" s="186"/>
      <c r="J76" s="4"/>
      <c r="K76" s="168"/>
      <c r="L76" s="4"/>
      <c r="M76" s="4"/>
      <c r="N76" s="4"/>
      <c r="O76" s="189" t="e">
        <f>IF(O75+1&lt;=MIN('Données projet'!$E$9:$E$18),O75+1,"STOP")</f>
        <v>#VALUE!</v>
      </c>
      <c r="P76" s="180" t="e">
        <f t="shared" si="5"/>
        <v>#VALUE!</v>
      </c>
      <c r="Q76" s="230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5"/>
      <c r="G77" s="201"/>
      <c r="H77" s="185"/>
      <c r="I77" s="186"/>
      <c r="J77" s="4"/>
      <c r="K77" s="168"/>
      <c r="L77" s="4"/>
      <c r="M77" s="4"/>
      <c r="N77" s="4"/>
      <c r="O77" s="189" t="e">
        <f>IF(O76+1&lt;=MIN('Données projet'!$E$9:$E$18),O76+1,"STOP")</f>
        <v>#VALUE!</v>
      </c>
      <c r="P77" s="180" t="e">
        <f t="shared" si="5"/>
        <v>#VALUE!</v>
      </c>
      <c r="Q77" s="230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6"/>
      <c r="G78" s="201"/>
      <c r="H78" s="185"/>
      <c r="I78" s="186"/>
      <c r="J78" s="4"/>
      <c r="K78" s="168"/>
      <c r="L78" s="4"/>
      <c r="M78" s="4"/>
      <c r="N78" s="4"/>
      <c r="O78" s="189" t="e">
        <f>IF(O77+1&lt;=MIN('Données projet'!$E$9:$E$18),O77+1,"STOP")</f>
        <v>#VALUE!</v>
      </c>
      <c r="P78" s="180" t="e">
        <f t="shared" si="5"/>
        <v>#VALUE!</v>
      </c>
      <c r="Q78" s="230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4" t="s">
        <v>132</v>
      </c>
      <c r="C79" s="193" t="s">
        <v>132</v>
      </c>
      <c r="D79" s="192" t="s">
        <v>132</v>
      </c>
      <c r="E79" s="261">
        <v>2494.65</v>
      </c>
      <c r="F79" s="226"/>
      <c r="G79" s="201"/>
      <c r="H79" s="185"/>
      <c r="I79" s="186"/>
      <c r="J79" s="4"/>
      <c r="K79" s="168"/>
      <c r="L79" s="4"/>
      <c r="M79" s="4"/>
      <c r="N79" s="4"/>
      <c r="O79" s="189" t="e">
        <f>IF(O78+1&lt;=MIN('Données projet'!$E$9:$E$18),O78+1,"STOP")</f>
        <v>#VALUE!</v>
      </c>
      <c r="P79" s="180" t="e">
        <f t="shared" si="5"/>
        <v>#VALUE!</v>
      </c>
      <c r="Q79" s="230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4" t="s">
        <v>132</v>
      </c>
      <c r="C80" s="193" t="s">
        <v>132</v>
      </c>
      <c r="D80" s="192" t="s">
        <v>132</v>
      </c>
      <c r="E80" s="188"/>
      <c r="F80" s="226"/>
      <c r="G80" s="23"/>
      <c r="H80" s="185"/>
      <c r="I80" s="186"/>
      <c r="J80" s="4"/>
      <c r="K80" s="168"/>
      <c r="L80" s="4"/>
      <c r="M80" s="4"/>
      <c r="N80" s="4"/>
      <c r="O80" s="189" t="e">
        <f>IF(O79+1&lt;=MIN('Données projet'!$E$9:$E$18),O79+1,"STOP")</f>
        <v>#VALUE!</v>
      </c>
      <c r="P80" s="180" t="e">
        <f t="shared" si="5"/>
        <v>#VALUE!</v>
      </c>
      <c r="Q80" s="230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4" t="s">
        <v>132</v>
      </c>
      <c r="C81" s="193" t="s">
        <v>132</v>
      </c>
      <c r="D81" s="192" t="s">
        <v>132</v>
      </c>
      <c r="E81" s="188"/>
      <c r="F81" s="226"/>
      <c r="G81" s="23"/>
      <c r="H81" s="185"/>
      <c r="I81" s="186"/>
      <c r="J81" s="4"/>
      <c r="K81" s="168"/>
      <c r="L81" s="4"/>
      <c r="M81" s="4"/>
      <c r="N81" s="4"/>
      <c r="O81" s="189" t="e">
        <f>IF(O80+1&lt;=MIN('Données projet'!$E$9:$E$18),O80+1,"STOP")</f>
        <v>#VALUE!</v>
      </c>
      <c r="P81" s="180" t="e">
        <f t="shared" si="5"/>
        <v>#VALUE!</v>
      </c>
      <c r="Q81" s="230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4" t="s">
        <v>132</v>
      </c>
      <c r="C82" s="193" t="s">
        <v>132</v>
      </c>
      <c r="D82" s="192" t="s">
        <v>132</v>
      </c>
      <c r="E82" s="188"/>
      <c r="F82" s="226"/>
      <c r="G82" s="23"/>
      <c r="H82" s="185"/>
      <c r="I82" s="186"/>
      <c r="J82" s="4"/>
      <c r="K82" s="168"/>
      <c r="L82" s="4"/>
      <c r="M82" s="4"/>
      <c r="N82" s="4"/>
      <c r="O82" s="189" t="e">
        <f>IF(O81+1&lt;=MIN('Données projet'!$E$9:$E$18),O81+1,"STOP")</f>
        <v>#VALUE!</v>
      </c>
      <c r="P82" s="180" t="e">
        <f t="shared" si="5"/>
        <v>#VALUE!</v>
      </c>
      <c r="Q82" s="230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4" t="s">
        <v>132</v>
      </c>
      <c r="C83" s="193" t="s">
        <v>132</v>
      </c>
      <c r="D83" s="192" t="s">
        <v>132</v>
      </c>
      <c r="E83" s="188"/>
      <c r="F83" s="226"/>
      <c r="G83" s="23"/>
      <c r="H83" s="185"/>
      <c r="I83" s="186"/>
      <c r="J83" s="4"/>
      <c r="K83" s="168"/>
      <c r="L83" s="4"/>
      <c r="M83" s="4"/>
      <c r="N83" s="4"/>
      <c r="O83" s="189" t="e">
        <f>IF(O82+1&lt;=MIN('Données projet'!$E$9:$E$18),O82+1,"STOP")</f>
        <v>#VALUE!</v>
      </c>
      <c r="P83" s="180" t="e">
        <f t="shared" si="5"/>
        <v>#VALUE!</v>
      </c>
      <c r="Q83" s="230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4" t="s">
        <v>132</v>
      </c>
      <c r="C84" s="193" t="s">
        <v>132</v>
      </c>
      <c r="D84" s="192" t="s">
        <v>132</v>
      </c>
      <c r="E84" s="188"/>
      <c r="F84" s="226"/>
      <c r="G84" s="200"/>
      <c r="H84" s="185"/>
      <c r="I84" s="186"/>
      <c r="J84" s="4"/>
      <c r="K84" s="168"/>
      <c r="L84" s="4"/>
      <c r="M84" s="4"/>
      <c r="N84" s="4"/>
      <c r="O84" s="189" t="e">
        <f>IF(O83+1&lt;=MIN('Données projet'!$E$9:$E$18),O83+1,"STOP")</f>
        <v>#VALUE!</v>
      </c>
      <c r="P84" s="180" t="e">
        <f t="shared" si="5"/>
        <v>#VALUE!</v>
      </c>
      <c r="Q84" s="230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5">
        <f>'Données projet'!A88</f>
        <v>15</v>
      </c>
      <c r="B85" s="176">
        <f>'Données projet'!D88</f>
        <v>0</v>
      </c>
      <c r="C85" s="188"/>
      <c r="D85" s="174">
        <f>B85*C85</f>
        <v>0</v>
      </c>
      <c r="E85" s="188"/>
      <c r="F85" s="227"/>
      <c r="G85" s="200"/>
      <c r="H85" s="185"/>
      <c r="I85" s="186"/>
      <c r="J85" s="4"/>
      <c r="K85" s="168"/>
      <c r="L85" s="4"/>
      <c r="M85" s="4"/>
      <c r="N85" s="4"/>
      <c r="O85" s="189" t="e">
        <f>IF(O84+1&lt;=MIN('Données projet'!$E$9:$E$18),O84+1,"STOP")</f>
        <v>#VALUE!</v>
      </c>
      <c r="P85" s="180" t="e">
        <f t="shared" si="5"/>
        <v>#VALUE!</v>
      </c>
      <c r="Q85" s="230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5">
        <f>'Données projet'!A89</f>
        <v>20</v>
      </c>
      <c r="B86" s="176">
        <f>'Données projet'!D89</f>
        <v>43</v>
      </c>
      <c r="C86" s="188">
        <v>10</v>
      </c>
      <c r="D86" s="174">
        <f t="shared" ref="D86:D104" si="6">B86*C86</f>
        <v>430</v>
      </c>
      <c r="E86" s="188"/>
      <c r="F86" s="227"/>
      <c r="G86" s="200"/>
      <c r="H86" s="185"/>
      <c r="I86" s="186"/>
      <c r="J86" s="4"/>
      <c r="K86" s="168"/>
      <c r="L86" s="4"/>
      <c r="M86" s="4"/>
      <c r="N86" s="4"/>
      <c r="O86" s="189" t="e">
        <f>IF(O85+1&lt;=MIN('Données projet'!$E$9:$E$18),O85+1,"STOP")</f>
        <v>#VALUE!</v>
      </c>
      <c r="P86" s="180" t="e">
        <f t="shared" si="5"/>
        <v>#VALUE!</v>
      </c>
      <c r="Q86" s="230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5">
        <f>'Données projet'!A90</f>
        <v>25</v>
      </c>
      <c r="B87" s="176">
        <f>'Données projet'!D90</f>
        <v>77</v>
      </c>
      <c r="C87" s="188">
        <v>10</v>
      </c>
      <c r="D87" s="174">
        <f t="shared" si="6"/>
        <v>770</v>
      </c>
      <c r="E87" s="188"/>
      <c r="F87" s="227"/>
      <c r="G87" s="200"/>
      <c r="H87" s="185"/>
      <c r="I87" s="186"/>
      <c r="J87" s="4"/>
      <c r="K87" s="168"/>
      <c r="L87" s="4"/>
      <c r="M87" s="4"/>
      <c r="N87" s="4"/>
      <c r="O87" s="189" t="e">
        <f>IF(O86+1&lt;=MIN('Données projet'!$E$9:$E$18),O86+1,"STOP")</f>
        <v>#VALUE!</v>
      </c>
      <c r="P87" s="180" t="e">
        <f t="shared" si="5"/>
        <v>#VALUE!</v>
      </c>
      <c r="Q87" s="230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5">
        <f>'Données projet'!A91</f>
        <v>30</v>
      </c>
      <c r="B88" s="176">
        <f>'Données projet'!D91</f>
        <v>77</v>
      </c>
      <c r="C88" s="188">
        <v>10</v>
      </c>
      <c r="D88" s="174">
        <f t="shared" si="6"/>
        <v>770</v>
      </c>
      <c r="E88" s="188"/>
      <c r="F88" s="227"/>
      <c r="G88" s="200"/>
      <c r="H88" s="185"/>
      <c r="I88" s="186"/>
      <c r="J88" s="4"/>
      <c r="K88" s="168"/>
      <c r="L88" s="4"/>
      <c r="M88" s="4"/>
      <c r="N88" s="4"/>
      <c r="O88" s="189" t="e">
        <f>IF(O87+1&lt;=MIN('Données projet'!$E$9:$E$18),O87+1,"STOP")</f>
        <v>#VALUE!</v>
      </c>
      <c r="P88" s="180" t="e">
        <f t="shared" si="5"/>
        <v>#VALUE!</v>
      </c>
      <c r="Q88" s="230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5">
        <f>'Données projet'!A92</f>
        <v>35</v>
      </c>
      <c r="B89" s="176">
        <f>'Données projet'!D92</f>
        <v>77</v>
      </c>
      <c r="C89" s="188"/>
      <c r="D89" s="174">
        <f t="shared" si="6"/>
        <v>0</v>
      </c>
      <c r="E89" s="188"/>
      <c r="F89" s="227"/>
      <c r="G89" s="200"/>
      <c r="H89" s="185"/>
      <c r="I89" s="186"/>
      <c r="J89" s="4"/>
      <c r="K89" s="168"/>
      <c r="L89" s="4"/>
      <c r="M89" s="4"/>
      <c r="N89" s="4"/>
      <c r="O89" s="189" t="e">
        <f>IF(O88+1&lt;=MIN('Données projet'!$E$9:$E$18),O88+1,"STOP")</f>
        <v>#VALUE!</v>
      </c>
      <c r="P89" s="180" t="e">
        <f t="shared" si="5"/>
        <v>#VALUE!</v>
      </c>
      <c r="Q89" s="230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5">
        <f>'Données projet'!A93</f>
        <v>40</v>
      </c>
      <c r="B90" s="176">
        <f>'Données projet'!D93</f>
        <v>77</v>
      </c>
      <c r="C90" s="188"/>
      <c r="D90" s="174">
        <f t="shared" si="6"/>
        <v>0</v>
      </c>
      <c r="E90" s="188"/>
      <c r="F90" s="227"/>
      <c r="G90" s="200"/>
      <c r="H90" s="185"/>
      <c r="I90" s="186"/>
      <c r="J90" s="4"/>
      <c r="K90" s="168"/>
      <c r="L90" s="4"/>
      <c r="M90" s="4"/>
      <c r="N90" s="4"/>
      <c r="O90" s="189" t="e">
        <f>IF(O89+1&lt;=MIN('Données projet'!$E$9:$E$18),O89+1,"STOP")</f>
        <v>#VALUE!</v>
      </c>
      <c r="P90" s="180" t="e">
        <f t="shared" si="5"/>
        <v>#VALUE!</v>
      </c>
      <c r="Q90" s="230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5">
        <f>'Données projet'!A94</f>
        <v>45</v>
      </c>
      <c r="B91" s="176">
        <f>'Données projet'!D94</f>
        <v>77</v>
      </c>
      <c r="C91" s="186"/>
      <c r="D91" s="174">
        <f t="shared" si="6"/>
        <v>0</v>
      </c>
      <c r="E91" s="188"/>
      <c r="F91" s="227"/>
      <c r="G91" s="201"/>
      <c r="H91" s="185"/>
      <c r="I91" s="186"/>
      <c r="J91" s="4"/>
      <c r="K91" s="168"/>
      <c r="L91" s="4"/>
      <c r="M91" s="4"/>
      <c r="N91" s="4"/>
      <c r="O91" s="189" t="e">
        <f>IF(O90+1&lt;=MIN('Données projet'!$E$9:$E$18),O90+1,"STOP")</f>
        <v>#VALUE!</v>
      </c>
      <c r="P91" s="180" t="e">
        <f t="shared" si="5"/>
        <v>#VALUE!</v>
      </c>
      <c r="Q91" s="230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5">
        <f>'Données projet'!A95</f>
        <v>50</v>
      </c>
      <c r="B92" s="176">
        <f>'Données projet'!D95</f>
        <v>77</v>
      </c>
      <c r="C92" s="186"/>
      <c r="D92" s="174">
        <f t="shared" si="6"/>
        <v>0</v>
      </c>
      <c r="E92" s="188"/>
      <c r="F92" s="227"/>
      <c r="G92" s="201"/>
      <c r="H92" s="185"/>
      <c r="I92" s="186"/>
      <c r="J92" s="4"/>
      <c r="K92" s="168"/>
      <c r="L92" s="4"/>
      <c r="M92" s="4"/>
      <c r="N92" s="4"/>
      <c r="O92" s="189" t="e">
        <f>IF(O91+1&lt;=MIN('Données projet'!$E$9:$E$18),O91+1,"STOP")</f>
        <v>#VALUE!</v>
      </c>
      <c r="P92" s="180" t="e">
        <f t="shared" si="5"/>
        <v>#VALUE!</v>
      </c>
      <c r="Q92" s="230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5">
        <f>'Données projet'!A96</f>
        <v>55</v>
      </c>
      <c r="B93" s="176">
        <f>'Données projet'!D96</f>
        <v>73</v>
      </c>
      <c r="C93" s="186"/>
      <c r="D93" s="174">
        <f t="shared" si="6"/>
        <v>0</v>
      </c>
      <c r="E93" s="188"/>
      <c r="F93" s="227"/>
      <c r="G93" s="201"/>
      <c r="H93" s="185"/>
      <c r="I93" s="186"/>
      <c r="J93" s="4"/>
      <c r="K93" s="168"/>
      <c r="L93" s="4"/>
      <c r="M93" s="4"/>
      <c r="N93" s="4"/>
      <c r="O93" s="189" t="e">
        <f>IF(O92+1&lt;=MIN('Données projet'!$E$9:$E$18),O92+1,"STOP")</f>
        <v>#VALUE!</v>
      </c>
      <c r="P93" s="180" t="e">
        <f t="shared" si="5"/>
        <v>#VALUE!</v>
      </c>
      <c r="Q93" s="230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5">
        <f>'Données projet'!A97</f>
        <v>60</v>
      </c>
      <c r="B94" s="176">
        <f>'Données projet'!D97</f>
        <v>66</v>
      </c>
      <c r="C94" s="186"/>
      <c r="D94" s="174">
        <f t="shared" si="6"/>
        <v>0</v>
      </c>
      <c r="E94" s="188"/>
      <c r="F94" s="227"/>
      <c r="G94" s="201"/>
      <c r="H94" s="185"/>
      <c r="I94" s="186"/>
      <c r="J94" s="4"/>
      <c r="K94" s="168"/>
      <c r="L94" s="4"/>
      <c r="M94" s="4"/>
      <c r="N94" s="4"/>
      <c r="O94" s="189" t="e">
        <f>IF(O93+1&lt;=MIN('Données projet'!$E$9:$E$18),O93+1,"STOP")</f>
        <v>#VALUE!</v>
      </c>
      <c r="P94" s="180" t="e">
        <f t="shared" si="5"/>
        <v>#VALUE!</v>
      </c>
      <c r="Q94" s="230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5">
        <f>'Données projet'!A98</f>
        <v>65</v>
      </c>
      <c r="B95" s="176">
        <f>'Données projet'!D98</f>
        <v>62</v>
      </c>
      <c r="C95" s="186"/>
      <c r="D95" s="174">
        <f t="shared" si="6"/>
        <v>0</v>
      </c>
      <c r="E95" s="188"/>
      <c r="F95" s="227"/>
      <c r="G95" s="201"/>
      <c r="H95" s="185"/>
      <c r="I95" s="186"/>
      <c r="J95" s="4"/>
      <c r="K95" s="168"/>
      <c r="L95" s="4"/>
      <c r="M95" s="4"/>
      <c r="N95" s="4"/>
      <c r="O95" s="189" t="e">
        <f>IF(O94+1&lt;=MIN('Données projet'!$E$9:$E$18),O94+1,"STOP")</f>
        <v>#VALUE!</v>
      </c>
      <c r="P95" s="180" t="e">
        <f t="shared" si="5"/>
        <v>#VALUE!</v>
      </c>
      <c r="Q95" s="230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5">
        <f>'Données projet'!A99</f>
        <v>70</v>
      </c>
      <c r="B96" s="176">
        <f>'Données projet'!D99</f>
        <v>60</v>
      </c>
      <c r="C96" s="186"/>
      <c r="D96" s="174">
        <f t="shared" si="6"/>
        <v>0</v>
      </c>
      <c r="E96" s="188"/>
      <c r="F96" s="227"/>
      <c r="G96" s="201"/>
      <c r="H96" s="185"/>
      <c r="I96" s="186"/>
      <c r="J96" s="4"/>
      <c r="K96" s="168"/>
      <c r="L96" s="4"/>
      <c r="M96" s="4"/>
      <c r="N96" s="4"/>
      <c r="O96" s="189" t="e">
        <f>IF(O95+1&lt;=MIN('Données projet'!$E$9:$E$18),O95+1,"STOP")</f>
        <v>#VALUE!</v>
      </c>
      <c r="P96" s="180" t="e">
        <f t="shared" si="5"/>
        <v>#VALUE!</v>
      </c>
      <c r="Q96" s="230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5">
        <f>'Données projet'!A100</f>
        <v>75</v>
      </c>
      <c r="B97" s="176">
        <f>'Données projet'!D100</f>
        <v>58</v>
      </c>
      <c r="C97" s="186"/>
      <c r="D97" s="174">
        <f t="shared" si="6"/>
        <v>0</v>
      </c>
      <c r="E97" s="188"/>
      <c r="F97" s="227"/>
      <c r="G97" s="201"/>
      <c r="H97" s="185"/>
      <c r="I97" s="186"/>
      <c r="J97" s="4"/>
      <c r="K97" s="168"/>
      <c r="L97" s="4"/>
      <c r="M97" s="4"/>
      <c r="N97" s="4"/>
      <c r="O97" s="189" t="e">
        <f>IF(O96+1&lt;=MIN('Données projet'!$E$9:$E$18),O96+1,"STOP")</f>
        <v>#VALUE!</v>
      </c>
      <c r="P97" s="180" t="e">
        <f t="shared" ref="P97:P128" si="7">$P$25/(1+$M$4)^O97</f>
        <v>#VALUE!</v>
      </c>
      <c r="Q97" s="230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5">
        <f>'Données projet'!A101</f>
        <v>80</v>
      </c>
      <c r="B98" s="176">
        <f>'Données projet'!D101</f>
        <v>57</v>
      </c>
      <c r="C98" s="186"/>
      <c r="D98" s="174">
        <f t="shared" si="6"/>
        <v>0</v>
      </c>
      <c r="E98" s="188"/>
      <c r="F98" s="227"/>
      <c r="G98" s="201"/>
      <c r="H98" s="185"/>
      <c r="I98" s="186"/>
      <c r="J98" s="4"/>
      <c r="K98" s="168"/>
      <c r="L98" s="4"/>
      <c r="M98" s="4"/>
      <c r="N98" s="4"/>
      <c r="O98" s="189" t="e">
        <f>IF(O97+1&lt;=MIN('Données projet'!$E$9:$E$18),O97+1,"STOP")</f>
        <v>#VALUE!</v>
      </c>
      <c r="P98" s="180" t="e">
        <f t="shared" si="7"/>
        <v>#VALUE!</v>
      </c>
      <c r="Q98" s="230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5">
        <f>'Données projet'!A102</f>
        <v>0</v>
      </c>
      <c r="B99" s="176">
        <f>'Données projet'!D102</f>
        <v>0</v>
      </c>
      <c r="C99" s="186"/>
      <c r="D99" s="174">
        <f t="shared" si="6"/>
        <v>0</v>
      </c>
      <c r="E99" s="188"/>
      <c r="F99" s="227"/>
      <c r="G99" s="201"/>
      <c r="H99" s="185"/>
      <c r="I99" s="186"/>
      <c r="J99" s="4"/>
      <c r="K99" s="168"/>
      <c r="L99" s="4"/>
      <c r="M99" s="4"/>
      <c r="N99" s="4"/>
      <c r="O99" s="189" t="e">
        <f>IF(O98+1&lt;=MIN('Données projet'!$E$9:$E$18),O98+1,"STOP")</f>
        <v>#VALUE!</v>
      </c>
      <c r="P99" s="180" t="e">
        <f t="shared" si="7"/>
        <v>#VALUE!</v>
      </c>
      <c r="Q99" s="230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5">
        <f>'Données projet'!A103</f>
        <v>0</v>
      </c>
      <c r="B100" s="176">
        <f>'Données projet'!D103</f>
        <v>0</v>
      </c>
      <c r="C100" s="186"/>
      <c r="D100" s="174">
        <f t="shared" si="6"/>
        <v>0</v>
      </c>
      <c r="E100" s="188"/>
      <c r="F100" s="227"/>
      <c r="G100" s="201"/>
      <c r="H100" s="185"/>
      <c r="I100" s="186"/>
      <c r="J100" s="4"/>
      <c r="K100" s="168"/>
      <c r="L100" s="4"/>
      <c r="M100" s="4"/>
      <c r="N100" s="4"/>
      <c r="O100" s="189" t="e">
        <f>IF(O99+1&lt;=MIN('Données projet'!$E$9:$E$18),O99+1,"STOP")</f>
        <v>#VALUE!</v>
      </c>
      <c r="P100" s="180" t="e">
        <f t="shared" si="7"/>
        <v>#VALUE!</v>
      </c>
      <c r="Q100" s="230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5">
        <f>'Données projet'!A104</f>
        <v>0</v>
      </c>
      <c r="B101" s="176">
        <f>'Données projet'!D104</f>
        <v>0</v>
      </c>
      <c r="C101" s="186"/>
      <c r="D101" s="174">
        <f t="shared" si="6"/>
        <v>0</v>
      </c>
      <c r="E101" s="188"/>
      <c r="F101" s="227"/>
      <c r="G101" s="201"/>
      <c r="H101" s="185"/>
      <c r="I101" s="186"/>
      <c r="J101" s="4"/>
      <c r="K101" s="168"/>
      <c r="L101" s="4"/>
      <c r="M101" s="4"/>
      <c r="N101" s="4"/>
      <c r="O101" s="189" t="e">
        <f>IF(O100+1&lt;=MIN('Données projet'!$E$9:$E$18),O100+1,"STOP")</f>
        <v>#VALUE!</v>
      </c>
      <c r="P101" s="180" t="e">
        <f t="shared" si="7"/>
        <v>#VALUE!</v>
      </c>
      <c r="Q101" s="230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5">
        <f>'Données projet'!A105</f>
        <v>0</v>
      </c>
      <c r="B102" s="176">
        <f>'Données projet'!D105</f>
        <v>0</v>
      </c>
      <c r="C102" s="186"/>
      <c r="D102" s="174">
        <f t="shared" si="6"/>
        <v>0</v>
      </c>
      <c r="E102" s="188"/>
      <c r="F102" s="227"/>
      <c r="G102" s="201"/>
      <c r="H102" s="185"/>
      <c r="I102" s="186"/>
      <c r="J102" s="4"/>
      <c r="K102" s="168"/>
      <c r="L102" s="4"/>
      <c r="M102" s="4"/>
      <c r="N102" s="4"/>
      <c r="O102" s="189" t="e">
        <f>IF(O101+1&lt;=MIN('Données projet'!$E$9:$E$18),O101+1,"STOP")</f>
        <v>#VALUE!</v>
      </c>
      <c r="P102" s="180" t="e">
        <f t="shared" si="7"/>
        <v>#VALUE!</v>
      </c>
      <c r="Q102" s="230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5">
        <f>'Données projet'!A106</f>
        <v>0</v>
      </c>
      <c r="B103" s="176">
        <f>'Données projet'!D106</f>
        <v>0</v>
      </c>
      <c r="C103" s="186"/>
      <c r="D103" s="174">
        <f t="shared" si="6"/>
        <v>0</v>
      </c>
      <c r="E103" s="188"/>
      <c r="F103" s="227"/>
      <c r="G103" s="201"/>
      <c r="H103" s="185"/>
      <c r="I103" s="186"/>
      <c r="J103" s="4"/>
      <c r="K103" s="168"/>
      <c r="L103" s="4"/>
      <c r="M103" s="4"/>
      <c r="N103" s="4"/>
      <c r="O103" s="189" t="e">
        <f>IF(O102+1&lt;=MIN('Données projet'!$E$9:$E$18),O102+1,"STOP")</f>
        <v>#VALUE!</v>
      </c>
      <c r="P103" s="180" t="e">
        <f t="shared" si="7"/>
        <v>#VALUE!</v>
      </c>
      <c r="Q103" s="230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5">
        <f>'Données projet'!A107</f>
        <v>0</v>
      </c>
      <c r="B104" s="176">
        <f>'Données projet'!D107</f>
        <v>0</v>
      </c>
      <c r="C104" s="186"/>
      <c r="D104" s="174">
        <f t="shared" si="6"/>
        <v>0</v>
      </c>
      <c r="E104" s="188"/>
      <c r="F104" s="227"/>
      <c r="G104" s="201"/>
      <c r="H104" s="185"/>
      <c r="I104" s="186"/>
      <c r="J104" s="4"/>
      <c r="K104" s="168"/>
      <c r="L104" s="4"/>
      <c r="M104" s="4"/>
      <c r="N104" s="4"/>
      <c r="O104" s="189" t="e">
        <f>IF(O103+1&lt;=MIN('Données projet'!$E$9:$E$18),O103+1,"STOP")</f>
        <v>#VALUE!</v>
      </c>
      <c r="P104" s="180" t="e">
        <f t="shared" si="7"/>
        <v>#VALUE!</v>
      </c>
      <c r="Q104" s="230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5"/>
      <c r="G105" s="201"/>
      <c r="H105" s="185"/>
      <c r="I105" s="186"/>
      <c r="J105" s="4"/>
      <c r="K105" s="168"/>
      <c r="L105" s="4"/>
      <c r="M105" s="4"/>
      <c r="N105" s="4"/>
      <c r="O105" s="189" t="e">
        <f>IF(O104+1&lt;=MIN('Données projet'!$E$9:$E$18),O104+1,"STOP")</f>
        <v>#VALUE!</v>
      </c>
      <c r="P105" s="180" t="e">
        <f t="shared" si="7"/>
        <v>#VALUE!</v>
      </c>
      <c r="Q105" s="230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5"/>
      <c r="G106" s="201"/>
      <c r="H106" s="185"/>
      <c r="I106" s="186"/>
      <c r="J106" s="4"/>
      <c r="K106" s="168"/>
      <c r="L106" s="4"/>
      <c r="M106" s="4"/>
      <c r="N106" s="4"/>
      <c r="O106" s="189" t="e">
        <f>IF(O105+1&lt;=MIN('Données projet'!$E$9:$E$18),O105+1,"STOP")</f>
        <v>#VALUE!</v>
      </c>
      <c r="P106" s="180" t="e">
        <f t="shared" si="7"/>
        <v>#VALUE!</v>
      </c>
      <c r="Q106" s="230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69" t="str">
        <f>IF('Données projet'!B12="","",'Données projet'!B12)</f>
        <v>Pin maritime</v>
      </c>
      <c r="C107" s="4"/>
      <c r="D107" s="4"/>
      <c r="E107" s="4"/>
      <c r="F107" s="225"/>
      <c r="G107" s="201"/>
      <c r="H107" s="185"/>
      <c r="I107" s="186"/>
      <c r="J107" s="4"/>
      <c r="K107" s="168"/>
      <c r="L107" s="4"/>
      <c r="M107" s="4"/>
      <c r="N107" s="4"/>
      <c r="O107" s="189" t="e">
        <f>IF(O106+1&lt;=MIN('Données projet'!$E$9:$E$18),O106+1,"STOP")</f>
        <v>#VALUE!</v>
      </c>
      <c r="P107" s="180" t="e">
        <f t="shared" si="7"/>
        <v>#VALUE!</v>
      </c>
      <c r="Q107" s="230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5"/>
      <c r="G108" s="201"/>
      <c r="H108" s="185"/>
      <c r="I108" s="186"/>
      <c r="J108" s="4"/>
      <c r="K108" s="168"/>
      <c r="L108" s="4"/>
      <c r="M108" s="4"/>
      <c r="N108" s="4"/>
      <c r="O108" s="189" t="e">
        <f>IF(O107+1&lt;=MIN('Données projet'!$E$9:$E$18),O107+1,"STOP")</f>
        <v>#VALUE!</v>
      </c>
      <c r="P108" s="180" t="e">
        <f t="shared" si="7"/>
        <v>#VALUE!</v>
      </c>
      <c r="Q108" s="230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6"/>
      <c r="G109" s="201"/>
      <c r="H109" s="185"/>
      <c r="I109" s="186"/>
      <c r="J109" s="4"/>
      <c r="K109" s="168"/>
      <c r="L109" s="4"/>
      <c r="M109" s="4"/>
      <c r="N109" s="4"/>
      <c r="O109" s="189" t="e">
        <f>IF(O108+1&lt;=MIN('Données projet'!$E$9:$E$18),O108+1,"STOP")</f>
        <v>#VALUE!</v>
      </c>
      <c r="P109" s="180" t="e">
        <f t="shared" si="7"/>
        <v>#VALUE!</v>
      </c>
      <c r="Q109" s="230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4" t="s">
        <v>132</v>
      </c>
      <c r="C110" s="193" t="s">
        <v>132</v>
      </c>
      <c r="D110" s="192" t="s">
        <v>132</v>
      </c>
      <c r="E110" s="261">
        <v>1580.07</v>
      </c>
      <c r="F110" s="226"/>
      <c r="G110" s="201"/>
      <c r="H110" s="185"/>
      <c r="I110" s="186"/>
      <c r="J110" s="4"/>
      <c r="K110" s="168"/>
      <c r="L110" s="4"/>
      <c r="M110" s="4"/>
      <c r="N110" s="4"/>
      <c r="O110" s="189" t="e">
        <f>IF(O109+1&lt;=MIN('Données projet'!$E$9:$E$18),O109+1,"STOP")</f>
        <v>#VALUE!</v>
      </c>
      <c r="P110" s="180" t="e">
        <f t="shared" si="7"/>
        <v>#VALUE!</v>
      </c>
      <c r="Q110" s="230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4" t="s">
        <v>132</v>
      </c>
      <c r="C111" s="193" t="s">
        <v>132</v>
      </c>
      <c r="D111" s="192" t="s">
        <v>132</v>
      </c>
      <c r="E111" s="188"/>
      <c r="F111" s="226"/>
      <c r="G111" s="23"/>
      <c r="H111" s="185"/>
      <c r="I111" s="186"/>
      <c r="J111" s="4"/>
      <c r="K111" s="168"/>
      <c r="L111" s="4"/>
      <c r="M111" s="4"/>
      <c r="N111" s="4"/>
      <c r="O111" s="189" t="e">
        <f>IF(O110+1&lt;=MIN('Données projet'!$E$9:$E$18),O110+1,"STOP")</f>
        <v>#VALUE!</v>
      </c>
      <c r="P111" s="180" t="e">
        <f t="shared" si="7"/>
        <v>#VALUE!</v>
      </c>
      <c r="Q111" s="230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4" t="s">
        <v>132</v>
      </c>
      <c r="C112" s="193" t="s">
        <v>132</v>
      </c>
      <c r="D112" s="192" t="s">
        <v>132</v>
      </c>
      <c r="E112" s="188"/>
      <c r="F112" s="226"/>
      <c r="G112" s="23"/>
      <c r="H112" s="185"/>
      <c r="I112" s="186"/>
      <c r="J112" s="4"/>
      <c r="K112" s="168"/>
      <c r="L112" s="4"/>
      <c r="M112" s="4"/>
      <c r="N112" s="4"/>
      <c r="O112" s="189" t="e">
        <f>IF(O111+1&lt;=MIN('Données projet'!$E$9:$E$18),O111+1,"STOP")</f>
        <v>#VALUE!</v>
      </c>
      <c r="P112" s="180" t="e">
        <f t="shared" si="7"/>
        <v>#VALUE!</v>
      </c>
      <c r="Q112" s="230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4" t="s">
        <v>132</v>
      </c>
      <c r="C113" s="193" t="s">
        <v>132</v>
      </c>
      <c r="D113" s="192" t="s">
        <v>132</v>
      </c>
      <c r="E113" s="188"/>
      <c r="F113" s="226"/>
      <c r="G113" s="23"/>
      <c r="H113" s="185"/>
      <c r="I113" s="186"/>
      <c r="J113" s="4"/>
      <c r="K113" s="168"/>
      <c r="L113" s="4"/>
      <c r="M113" s="4"/>
      <c r="N113" s="4"/>
      <c r="O113" s="189" t="e">
        <f>IF(O112+1&lt;=MIN('Données projet'!$E$9:$E$18),O112+1,"STOP")</f>
        <v>#VALUE!</v>
      </c>
      <c r="P113" s="180" t="e">
        <f t="shared" si="7"/>
        <v>#VALUE!</v>
      </c>
      <c r="Q113" s="230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4" t="s">
        <v>132</v>
      </c>
      <c r="C114" s="193" t="s">
        <v>132</v>
      </c>
      <c r="D114" s="192" t="s">
        <v>132</v>
      </c>
      <c r="E114" s="188"/>
      <c r="F114" s="226"/>
      <c r="G114" s="23"/>
      <c r="H114" s="185"/>
      <c r="I114" s="186"/>
      <c r="J114" s="4"/>
      <c r="K114" s="168"/>
      <c r="L114" s="4"/>
      <c r="M114" s="4"/>
      <c r="N114" s="4"/>
      <c r="O114" s="189" t="e">
        <f>IF(O113+1&lt;=MIN('Données projet'!$E$9:$E$18),O113+1,"STOP")</f>
        <v>#VALUE!</v>
      </c>
      <c r="P114" s="180" t="e">
        <f t="shared" si="7"/>
        <v>#VALUE!</v>
      </c>
      <c r="Q114" s="230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4" t="s">
        <v>132</v>
      </c>
      <c r="C115" s="193" t="s">
        <v>132</v>
      </c>
      <c r="D115" s="192" t="s">
        <v>132</v>
      </c>
      <c r="E115" s="188"/>
      <c r="F115" s="226"/>
      <c r="G115" s="200"/>
      <c r="H115" s="185"/>
      <c r="I115" s="186"/>
      <c r="J115" s="4"/>
      <c r="K115" s="168"/>
      <c r="L115" s="4"/>
      <c r="M115" s="4"/>
      <c r="N115" s="4"/>
      <c r="O115" s="189" t="e">
        <f>IF(O114+1&lt;=MIN('Données projet'!$E$9:$E$18),O114+1,"STOP")</f>
        <v>#VALUE!</v>
      </c>
      <c r="P115" s="180" t="e">
        <f t="shared" si="7"/>
        <v>#VALUE!</v>
      </c>
      <c r="Q115" s="230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5">
        <f>'Données projet'!A114</f>
        <v>11</v>
      </c>
      <c r="B116" s="176">
        <f>'Données projet'!D114</f>
        <v>0</v>
      </c>
      <c r="C116" s="188"/>
      <c r="D116" s="174">
        <f>B116*C116</f>
        <v>0</v>
      </c>
      <c r="E116" s="188"/>
      <c r="F116" s="227"/>
      <c r="G116" s="200"/>
      <c r="H116" s="185"/>
      <c r="I116" s="186"/>
      <c r="J116" s="4"/>
      <c r="K116" s="168"/>
      <c r="L116" s="4"/>
      <c r="M116" s="4"/>
      <c r="N116" s="4"/>
      <c r="O116" s="189" t="e">
        <f>IF(O115+1&lt;=MIN('Données projet'!$E$9:$E$18),O115+1,"STOP")</f>
        <v>#VALUE!</v>
      </c>
      <c r="P116" s="180" t="e">
        <f t="shared" si="7"/>
        <v>#VALUE!</v>
      </c>
      <c r="Q116" s="230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5">
        <f>'Données projet'!A115</f>
        <v>12</v>
      </c>
      <c r="B117" s="176">
        <f>'Données projet'!D115</f>
        <v>34</v>
      </c>
      <c r="C117" s="188">
        <v>10</v>
      </c>
      <c r="D117" s="174">
        <f t="shared" ref="D117:D135" si="8">B117*C117</f>
        <v>340</v>
      </c>
      <c r="E117" s="188"/>
      <c r="F117" s="227"/>
      <c r="G117" s="200"/>
      <c r="H117" s="185"/>
      <c r="I117" s="186"/>
      <c r="J117" s="4"/>
      <c r="K117" s="168"/>
      <c r="L117" s="4"/>
      <c r="M117" s="4"/>
      <c r="N117" s="4"/>
      <c r="O117" s="189" t="e">
        <f>IF(O116+1&lt;=MIN('Données projet'!$E$9:$E$18),O116+1,"STOP")</f>
        <v>#VALUE!</v>
      </c>
      <c r="P117" s="180" t="e">
        <f t="shared" si="7"/>
        <v>#VALUE!</v>
      </c>
      <c r="Q117" s="230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5">
        <f>'Données projet'!A116</f>
        <v>13</v>
      </c>
      <c r="B118" s="176">
        <f>'Données projet'!D116</f>
        <v>0</v>
      </c>
      <c r="C118" s="188"/>
      <c r="D118" s="174">
        <f t="shared" si="8"/>
        <v>0</v>
      </c>
      <c r="E118" s="188"/>
      <c r="F118" s="227"/>
      <c r="G118" s="200"/>
      <c r="H118" s="185"/>
      <c r="I118" s="186"/>
      <c r="J118" s="4"/>
      <c r="K118" s="168"/>
      <c r="L118" s="4"/>
      <c r="M118" s="4"/>
      <c r="N118" s="4"/>
      <c r="O118" s="189" t="e">
        <f>IF(O117+1&lt;=MIN('Données projet'!$E$9:$E$18),O117+1,"STOP")</f>
        <v>#VALUE!</v>
      </c>
      <c r="P118" s="180" t="e">
        <f t="shared" si="7"/>
        <v>#VALUE!</v>
      </c>
      <c r="Q118" s="230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5">
        <f>'Données projet'!A117</f>
        <v>14</v>
      </c>
      <c r="B119" s="176">
        <f>'Données projet'!D117</f>
        <v>0</v>
      </c>
      <c r="C119" s="188"/>
      <c r="D119" s="174">
        <f t="shared" si="8"/>
        <v>0</v>
      </c>
      <c r="E119" s="188"/>
      <c r="F119" s="227"/>
      <c r="G119" s="200"/>
      <c r="H119" s="185"/>
      <c r="I119" s="186"/>
      <c r="J119" s="4"/>
      <c r="K119" s="168"/>
      <c r="L119" s="4"/>
      <c r="M119" s="4"/>
      <c r="N119" s="4"/>
      <c r="O119" s="189" t="e">
        <f>IF(O118+1&lt;=MIN('Données projet'!$E$9:$E$18),O118+1,"STOP")</f>
        <v>#VALUE!</v>
      </c>
      <c r="P119" s="180" t="e">
        <f t="shared" si="7"/>
        <v>#VALUE!</v>
      </c>
      <c r="Q119" s="230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5">
        <f>'Données projet'!A118</f>
        <v>15</v>
      </c>
      <c r="B120" s="176">
        <f>'Données projet'!D118</f>
        <v>0</v>
      </c>
      <c r="C120" s="188"/>
      <c r="D120" s="174">
        <f t="shared" si="8"/>
        <v>0</v>
      </c>
      <c r="E120" s="188"/>
      <c r="F120" s="227"/>
      <c r="G120" s="200"/>
      <c r="H120" s="185"/>
      <c r="I120" s="186"/>
      <c r="J120" s="4"/>
      <c r="K120" s="168"/>
      <c r="L120" s="4"/>
      <c r="M120" s="4"/>
      <c r="N120" s="4"/>
      <c r="O120" s="189" t="e">
        <f>IF(O119+1&lt;=MIN('Données projet'!$E$9:$E$18),O119+1,"STOP")</f>
        <v>#VALUE!</v>
      </c>
      <c r="P120" s="180" t="e">
        <f t="shared" si="7"/>
        <v>#VALUE!</v>
      </c>
      <c r="Q120" s="230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5">
        <f>'Données projet'!A119</f>
        <v>16</v>
      </c>
      <c r="B121" s="176">
        <f>'Données projet'!D119</f>
        <v>0</v>
      </c>
      <c r="C121" s="186"/>
      <c r="D121" s="174">
        <f t="shared" si="8"/>
        <v>0</v>
      </c>
      <c r="E121" s="188"/>
      <c r="F121" s="227"/>
      <c r="G121" s="200"/>
      <c r="H121" s="185"/>
      <c r="I121" s="186"/>
      <c r="J121" s="4"/>
      <c r="K121" s="168"/>
      <c r="L121" s="4"/>
      <c r="M121" s="4"/>
      <c r="N121" s="4"/>
      <c r="O121" s="189" t="e">
        <f>IF(O120+1&lt;=MIN('Données projet'!$E$9:$E$18),O120+1,"STOP")</f>
        <v>#VALUE!</v>
      </c>
      <c r="P121" s="180" t="e">
        <f t="shared" si="7"/>
        <v>#VALUE!</v>
      </c>
      <c r="Q121" s="230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5">
        <f>'Données projet'!A120</f>
        <v>17</v>
      </c>
      <c r="B122" s="176">
        <f>'Données projet'!D120</f>
        <v>43</v>
      </c>
      <c r="C122" s="186">
        <v>15</v>
      </c>
      <c r="D122" s="174">
        <f t="shared" si="8"/>
        <v>645</v>
      </c>
      <c r="E122" s="188"/>
      <c r="F122" s="227"/>
      <c r="G122" s="201"/>
      <c r="H122" s="185"/>
      <c r="I122" s="186"/>
      <c r="J122" s="4"/>
      <c r="K122" s="168"/>
      <c r="L122" s="4"/>
      <c r="M122" s="4"/>
      <c r="N122" s="4"/>
      <c r="O122" s="189" t="e">
        <f>IF(O121+1&lt;=MIN('Données projet'!$E$9:$E$18),O121+1,"STOP")</f>
        <v>#VALUE!</v>
      </c>
      <c r="P122" s="180" t="e">
        <f t="shared" si="7"/>
        <v>#VALUE!</v>
      </c>
      <c r="Q122" s="230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5">
        <f>'Données projet'!A121</f>
        <v>18</v>
      </c>
      <c r="B123" s="176">
        <f>'Données projet'!D121</f>
        <v>0</v>
      </c>
      <c r="C123" s="186"/>
      <c r="D123" s="174">
        <f t="shared" si="8"/>
        <v>0</v>
      </c>
      <c r="E123" s="188"/>
      <c r="F123" s="227"/>
      <c r="G123" s="201"/>
      <c r="H123" s="185"/>
      <c r="I123" s="186"/>
      <c r="J123" s="4"/>
      <c r="K123" s="168"/>
      <c r="L123" s="4"/>
      <c r="M123" s="4"/>
      <c r="N123" s="4"/>
      <c r="O123" s="189" t="e">
        <f>IF(O122+1&lt;=MIN('Données projet'!$E$9:$E$18),O122+1,"STOP")</f>
        <v>#VALUE!</v>
      </c>
      <c r="P123" s="180" t="e">
        <f t="shared" si="7"/>
        <v>#VALUE!</v>
      </c>
      <c r="Q123" s="230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5">
        <f>'Données projet'!A122</f>
        <v>19</v>
      </c>
      <c r="B124" s="176">
        <f>'Données projet'!D122</f>
        <v>0</v>
      </c>
      <c r="C124" s="186"/>
      <c r="D124" s="174">
        <f t="shared" si="8"/>
        <v>0</v>
      </c>
      <c r="E124" s="188"/>
      <c r="F124" s="227"/>
      <c r="G124" s="201"/>
      <c r="H124" s="185"/>
      <c r="I124" s="186"/>
      <c r="J124" s="4"/>
      <c r="K124" s="168"/>
      <c r="L124" s="4"/>
      <c r="M124" s="4"/>
      <c r="N124" s="4"/>
      <c r="O124" s="189" t="e">
        <f>IF(O123+1&lt;=MIN('Données projet'!$E$9:$E$18),O123+1,"STOP")</f>
        <v>#VALUE!</v>
      </c>
      <c r="P124" s="180" t="e">
        <f t="shared" si="7"/>
        <v>#VALUE!</v>
      </c>
      <c r="Q124" s="230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5">
        <f>'Données projet'!A123</f>
        <v>20</v>
      </c>
      <c r="B125" s="176">
        <f>'Données projet'!D123</f>
        <v>0</v>
      </c>
      <c r="C125" s="186"/>
      <c r="D125" s="174">
        <f t="shared" si="8"/>
        <v>0</v>
      </c>
      <c r="E125" s="188"/>
      <c r="F125" s="227"/>
      <c r="G125" s="201"/>
      <c r="H125" s="185"/>
      <c r="I125" s="186"/>
      <c r="J125" s="4"/>
      <c r="K125" s="168"/>
      <c r="L125" s="4"/>
      <c r="M125" s="4"/>
      <c r="N125" s="4"/>
      <c r="O125" s="189" t="e">
        <f>IF(O124+1&lt;=MIN('Données projet'!$E$9:$E$18),O124+1,"STOP")</f>
        <v>#VALUE!</v>
      </c>
      <c r="P125" s="180" t="e">
        <f t="shared" si="7"/>
        <v>#VALUE!</v>
      </c>
      <c r="Q125" s="230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5">
        <f>'Données projet'!A124</f>
        <v>21</v>
      </c>
      <c r="B126" s="176">
        <f>'Données projet'!D124</f>
        <v>0</v>
      </c>
      <c r="C126" s="186"/>
      <c r="D126" s="174">
        <f t="shared" si="8"/>
        <v>0</v>
      </c>
      <c r="E126" s="188"/>
      <c r="F126" s="227"/>
      <c r="G126" s="201"/>
      <c r="H126" s="185"/>
      <c r="I126" s="186"/>
      <c r="J126" s="4"/>
      <c r="K126" s="168"/>
      <c r="L126" s="4"/>
      <c r="M126" s="4"/>
      <c r="N126" s="4"/>
      <c r="O126" s="189" t="e">
        <f>IF(O125+1&lt;=MIN('Données projet'!$E$9:$E$18),O125+1,"STOP")</f>
        <v>#VALUE!</v>
      </c>
      <c r="P126" s="180" t="e">
        <f t="shared" si="7"/>
        <v>#VALUE!</v>
      </c>
      <c r="Q126" s="230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5">
        <f>'Données projet'!A125</f>
        <v>22</v>
      </c>
      <c r="B127" s="176">
        <f>'Données projet'!D125</f>
        <v>56</v>
      </c>
      <c r="C127" s="186">
        <v>22</v>
      </c>
      <c r="D127" s="174">
        <f t="shared" si="8"/>
        <v>1232</v>
      </c>
      <c r="E127" s="188"/>
      <c r="F127" s="227"/>
      <c r="G127" s="201"/>
      <c r="H127" s="185"/>
      <c r="I127" s="186"/>
      <c r="J127" s="4"/>
      <c r="K127" s="168"/>
      <c r="L127" s="4"/>
      <c r="M127" s="4"/>
      <c r="N127" s="4"/>
      <c r="O127" s="189" t="e">
        <f>IF(O126+1&lt;=MIN('Données projet'!$E$9:$E$18),O126+1,"STOP")</f>
        <v>#VALUE!</v>
      </c>
      <c r="P127" s="180" t="e">
        <f t="shared" si="7"/>
        <v>#VALUE!</v>
      </c>
      <c r="Q127" s="230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5">
        <f>'Données projet'!A126</f>
        <v>23</v>
      </c>
      <c r="B128" s="176">
        <f>'Données projet'!D126</f>
        <v>0</v>
      </c>
      <c r="C128" s="186"/>
      <c r="D128" s="174">
        <f t="shared" si="8"/>
        <v>0</v>
      </c>
      <c r="E128" s="188"/>
      <c r="F128" s="227"/>
      <c r="G128" s="201"/>
      <c r="H128" s="185"/>
      <c r="I128" s="186"/>
      <c r="J128" s="4"/>
      <c r="K128" s="168"/>
      <c r="L128" s="4"/>
      <c r="M128" s="4"/>
      <c r="N128" s="4"/>
      <c r="O128" s="189" t="e">
        <f>IF(O127+1&lt;=MIN('Données projet'!$E$9:$E$18),O127+1,"STOP")</f>
        <v>#VALUE!</v>
      </c>
      <c r="P128" s="180" t="e">
        <f t="shared" si="7"/>
        <v>#VALUE!</v>
      </c>
      <c r="Q128" s="230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5">
        <f>'Données projet'!A127</f>
        <v>24</v>
      </c>
      <c r="B129" s="176">
        <f>'Données projet'!D127</f>
        <v>0</v>
      </c>
      <c r="C129" s="186"/>
      <c r="D129" s="174">
        <f t="shared" si="8"/>
        <v>0</v>
      </c>
      <c r="E129" s="188"/>
      <c r="F129" s="227"/>
      <c r="G129" s="201"/>
      <c r="H129" s="185"/>
      <c r="I129" s="186"/>
      <c r="J129" s="4"/>
      <c r="K129" s="168"/>
      <c r="L129" s="4"/>
      <c r="M129" s="4"/>
      <c r="N129" s="4"/>
      <c r="O129" s="189" t="e">
        <f>IF(O128+1&lt;=MIN('Données projet'!$E$9:$E$18),O128+1,"STOP")</f>
        <v>#VALUE!</v>
      </c>
      <c r="P129" s="180" t="e">
        <f t="shared" ref="P129:P132" si="9">$P$25/(1+$M$4)^O129</f>
        <v>#VALUE!</v>
      </c>
      <c r="Q129" s="230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5">
        <f>'Données projet'!A128</f>
        <v>25</v>
      </c>
      <c r="B130" s="176">
        <f>'Données projet'!D128</f>
        <v>0</v>
      </c>
      <c r="C130" s="186"/>
      <c r="D130" s="174">
        <f t="shared" si="8"/>
        <v>0</v>
      </c>
      <c r="E130" s="188"/>
      <c r="F130" s="227"/>
      <c r="G130" s="201"/>
      <c r="H130" s="185"/>
      <c r="I130" s="186"/>
      <c r="J130" s="4"/>
      <c r="K130" s="168"/>
      <c r="L130" s="4"/>
      <c r="M130" s="4"/>
      <c r="N130" s="4"/>
      <c r="O130" s="189" t="e">
        <f>IF(O129+1&lt;=MIN('Données projet'!$E$9:$E$18),O129+1,"STOP")</f>
        <v>#VALUE!</v>
      </c>
      <c r="P130" s="180" t="e">
        <f t="shared" si="9"/>
        <v>#VALUE!</v>
      </c>
      <c r="Q130" s="230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5">
        <f>'Données projet'!A129</f>
        <v>26</v>
      </c>
      <c r="B131" s="176">
        <f>'Données projet'!D129</f>
        <v>0</v>
      </c>
      <c r="C131" s="186"/>
      <c r="D131" s="174">
        <f t="shared" si="8"/>
        <v>0</v>
      </c>
      <c r="E131" s="188"/>
      <c r="F131" s="227"/>
      <c r="G131" s="201"/>
      <c r="H131" s="185"/>
      <c r="I131" s="186"/>
      <c r="J131" s="4"/>
      <c r="K131" s="168"/>
      <c r="L131" s="4"/>
      <c r="M131" s="4"/>
      <c r="N131" s="4"/>
      <c r="O131" s="189" t="e">
        <f>IF(O130+1&lt;=MIN('Données projet'!$E$9:$E$18),O130+1,"STOP")</f>
        <v>#VALUE!</v>
      </c>
      <c r="P131" s="180" t="e">
        <f t="shared" si="9"/>
        <v>#VALUE!</v>
      </c>
      <c r="Q131" s="230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5">
        <f>'Données projet'!A130</f>
        <v>27</v>
      </c>
      <c r="B132" s="176">
        <f>'Données projet'!D130</f>
        <v>0</v>
      </c>
      <c r="C132" s="186"/>
      <c r="D132" s="174">
        <f t="shared" si="8"/>
        <v>0</v>
      </c>
      <c r="E132" s="188"/>
      <c r="F132" s="227"/>
      <c r="G132" s="201"/>
      <c r="H132" s="185"/>
      <c r="I132" s="186"/>
      <c r="J132" s="4"/>
      <c r="K132" s="168"/>
      <c r="L132" s="4"/>
      <c r="M132" s="4"/>
      <c r="N132" s="4"/>
      <c r="O132" s="189" t="e">
        <f>IF(O131+1&lt;=MIN('Données projet'!$E$9:$E$18),O131+1,"STOP")</f>
        <v>#VALUE!</v>
      </c>
      <c r="P132" s="180" t="e">
        <f t="shared" si="9"/>
        <v>#VALUE!</v>
      </c>
      <c r="Q132" s="230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5">
        <f>'Données projet'!A131</f>
        <v>28</v>
      </c>
      <c r="B133" s="176">
        <f>'Données projet'!D131</f>
        <v>0</v>
      </c>
      <c r="C133" s="186"/>
      <c r="D133" s="174">
        <f t="shared" si="8"/>
        <v>0</v>
      </c>
      <c r="E133" s="188"/>
      <c r="F133" s="227"/>
      <c r="G133" s="201"/>
      <c r="H133" s="185"/>
      <c r="I133" s="186"/>
      <c r="J133" s="4"/>
      <c r="K133" s="168"/>
      <c r="Q133" s="230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5">
        <f>'Données projet'!A132</f>
        <v>29</v>
      </c>
      <c r="B134" s="176">
        <f>'Données projet'!D132</f>
        <v>0</v>
      </c>
      <c r="C134" s="186"/>
      <c r="D134" s="174">
        <f t="shared" si="8"/>
        <v>0</v>
      </c>
      <c r="E134" s="188"/>
      <c r="F134" s="227"/>
      <c r="G134" s="201"/>
      <c r="H134" s="185"/>
      <c r="I134" s="186"/>
      <c r="J134" s="4"/>
      <c r="K134" s="168"/>
      <c r="Q134" s="230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5">
        <f>'Données projet'!A133</f>
        <v>30</v>
      </c>
      <c r="B135" s="176">
        <f>'Données projet'!D133</f>
        <v>309</v>
      </c>
      <c r="C135" s="186">
        <v>30</v>
      </c>
      <c r="D135" s="174">
        <f t="shared" si="8"/>
        <v>9270</v>
      </c>
      <c r="E135" s="188"/>
      <c r="F135" s="227"/>
      <c r="G135" s="201"/>
      <c r="H135" s="185"/>
      <c r="I135" s="186"/>
      <c r="J135" s="4"/>
      <c r="K135" s="168"/>
      <c r="Q135" s="230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5"/>
      <c r="G136" s="201"/>
      <c r="H136" s="185"/>
      <c r="I136" s="186"/>
      <c r="J136" s="4"/>
      <c r="K136" s="168"/>
      <c r="L136" s="4"/>
      <c r="M136" s="4"/>
      <c r="N136" s="4"/>
      <c r="Q136" s="230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5"/>
      <c r="G137" s="201"/>
      <c r="H137" s="185"/>
      <c r="I137" s="186"/>
      <c r="J137" s="4"/>
      <c r="K137" s="168"/>
      <c r="L137" s="4"/>
      <c r="M137" s="4"/>
      <c r="N137" s="4"/>
      <c r="Q137" s="230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69" t="str">
        <f>IF('Données projet'!B13="","",'Données projet'!B13)</f>
        <v>Chêne sessile</v>
      </c>
      <c r="C138" s="4"/>
      <c r="D138" s="4"/>
      <c r="E138" s="4"/>
      <c r="F138" s="225"/>
      <c r="G138" s="201"/>
      <c r="H138" s="185"/>
      <c r="I138" s="186"/>
      <c r="J138" s="4"/>
      <c r="K138" s="168"/>
      <c r="L138" s="4"/>
      <c r="M138" s="4"/>
      <c r="N138" s="4"/>
      <c r="Q138" s="230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5"/>
      <c r="G139" s="201"/>
      <c r="H139" s="185"/>
      <c r="I139" s="186"/>
      <c r="J139" s="4"/>
      <c r="K139" s="168"/>
      <c r="L139" s="4"/>
      <c r="M139" s="4"/>
      <c r="N139" s="4"/>
      <c r="Q139" s="230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6"/>
      <c r="G140" s="201"/>
      <c r="H140" s="185"/>
      <c r="I140" s="186"/>
      <c r="J140" s="4"/>
      <c r="K140" s="168"/>
      <c r="L140" s="4"/>
      <c r="M140" s="4"/>
      <c r="N140" s="4"/>
      <c r="Q140" s="230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4" t="s">
        <v>132</v>
      </c>
      <c r="C141" s="193" t="s">
        <v>132</v>
      </c>
      <c r="D141" s="192" t="s">
        <v>132</v>
      </c>
      <c r="E141" s="261">
        <v>3257.82</v>
      </c>
      <c r="F141" s="226"/>
      <c r="G141" s="201"/>
      <c r="H141" s="185"/>
      <c r="I141" s="186"/>
      <c r="J141" s="4"/>
      <c r="K141" s="168"/>
      <c r="L141" s="4"/>
      <c r="M141" s="4"/>
      <c r="N141" s="4"/>
      <c r="Q141" s="230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4" t="s">
        <v>132</v>
      </c>
      <c r="C142" s="193" t="s">
        <v>132</v>
      </c>
      <c r="D142" s="192" t="s">
        <v>132</v>
      </c>
      <c r="E142" s="188"/>
      <c r="F142" s="226"/>
      <c r="G142" s="23"/>
      <c r="H142" s="185"/>
      <c r="I142" s="186"/>
      <c r="J142" s="4"/>
      <c r="K142" s="168"/>
      <c r="L142" s="4"/>
      <c r="M142" s="4"/>
      <c r="N142" s="4"/>
      <c r="Q142" s="230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4" t="s">
        <v>132</v>
      </c>
      <c r="C143" s="193" t="s">
        <v>132</v>
      </c>
      <c r="D143" s="192" t="s">
        <v>132</v>
      </c>
      <c r="E143" s="188"/>
      <c r="F143" s="226"/>
      <c r="G143" s="23"/>
      <c r="H143" s="185"/>
      <c r="I143" s="186"/>
      <c r="J143" s="4"/>
      <c r="K143" s="168"/>
      <c r="L143" s="4"/>
      <c r="M143" s="4"/>
      <c r="N143" s="4"/>
      <c r="Q143" s="230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4" t="s">
        <v>132</v>
      </c>
      <c r="C144" s="193" t="s">
        <v>132</v>
      </c>
      <c r="D144" s="192" t="s">
        <v>132</v>
      </c>
      <c r="E144" s="188"/>
      <c r="F144" s="226"/>
      <c r="G144" s="23"/>
      <c r="H144" s="185"/>
      <c r="I144" s="186"/>
      <c r="J144" s="4"/>
      <c r="K144" s="168"/>
      <c r="L144" s="4"/>
      <c r="M144" s="4"/>
      <c r="N144" s="4"/>
      <c r="Q144" s="230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4" t="s">
        <v>132</v>
      </c>
      <c r="C145" s="193" t="s">
        <v>132</v>
      </c>
      <c r="D145" s="192" t="s">
        <v>132</v>
      </c>
      <c r="E145" s="188"/>
      <c r="F145" s="226"/>
      <c r="G145" s="23"/>
      <c r="H145" s="185"/>
      <c r="I145" s="186"/>
      <c r="J145" s="4"/>
      <c r="K145" s="168"/>
      <c r="L145" s="4"/>
      <c r="M145" s="4"/>
      <c r="N145" s="4"/>
      <c r="Q145" s="230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4" t="s">
        <v>132</v>
      </c>
      <c r="C146" s="193" t="s">
        <v>132</v>
      </c>
      <c r="D146" s="192" t="s">
        <v>132</v>
      </c>
      <c r="E146" s="188"/>
      <c r="F146" s="226"/>
      <c r="G146" s="200"/>
      <c r="H146" s="185"/>
      <c r="I146" s="186"/>
      <c r="J146" s="4"/>
      <c r="K146" s="168"/>
      <c r="L146" s="4"/>
      <c r="M146" s="4"/>
      <c r="N146" s="4"/>
      <c r="Q146" s="230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0">
        <f>'Données projet'!D140</f>
        <v>0</v>
      </c>
      <c r="C147" s="188"/>
      <c r="D147" s="177">
        <f>B147*C147</f>
        <v>0</v>
      </c>
      <c r="E147" s="188"/>
      <c r="F147" s="228"/>
      <c r="G147" s="200"/>
      <c r="H147" s="185"/>
      <c r="I147" s="186"/>
      <c r="J147" s="4"/>
      <c r="K147" s="168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25</v>
      </c>
      <c r="B148" s="170">
        <f>'Données projet'!D141</f>
        <v>8</v>
      </c>
      <c r="C148" s="188">
        <v>13</v>
      </c>
      <c r="D148" s="177">
        <f t="shared" ref="D148:D166" si="10">B148*C148</f>
        <v>104</v>
      </c>
      <c r="E148" s="188"/>
      <c r="F148" s="228"/>
      <c r="G148" s="200"/>
      <c r="H148" s="185"/>
      <c r="I148" s="186"/>
      <c r="J148" s="4"/>
      <c r="K148" s="168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0">
        <f>'Données projet'!D142</f>
        <v>21</v>
      </c>
      <c r="C149" s="188">
        <v>13</v>
      </c>
      <c r="D149" s="177">
        <f t="shared" si="10"/>
        <v>273</v>
      </c>
      <c r="E149" s="188"/>
      <c r="F149" s="228"/>
      <c r="G149" s="200"/>
      <c r="H149" s="185"/>
      <c r="I149" s="186"/>
      <c r="J149" s="4"/>
      <c r="K149" s="168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35</v>
      </c>
      <c r="B150" s="170">
        <f>'Données projet'!D143</f>
        <v>21</v>
      </c>
      <c r="C150" s="188"/>
      <c r="D150" s="177">
        <f t="shared" si="10"/>
        <v>0</v>
      </c>
      <c r="E150" s="188"/>
      <c r="F150" s="228"/>
      <c r="G150" s="200"/>
      <c r="H150" s="185"/>
      <c r="I150" s="186"/>
      <c r="J150" s="4"/>
      <c r="K150" s="168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40</v>
      </c>
      <c r="B151" s="170">
        <f>'Données projet'!D144</f>
        <v>21</v>
      </c>
      <c r="C151" s="186"/>
      <c r="D151" s="177">
        <f t="shared" si="10"/>
        <v>0</v>
      </c>
      <c r="E151" s="188"/>
      <c r="F151" s="228"/>
      <c r="G151" s="200"/>
      <c r="H151" s="185"/>
      <c r="I151" s="186"/>
      <c r="J151" s="4"/>
      <c r="K151" s="168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45</v>
      </c>
      <c r="B152" s="170">
        <f>'Données projet'!D145</f>
        <v>21</v>
      </c>
      <c r="C152" s="186"/>
      <c r="D152" s="177">
        <f t="shared" si="10"/>
        <v>0</v>
      </c>
      <c r="E152" s="188"/>
      <c r="F152" s="228"/>
      <c r="G152" s="200"/>
      <c r="H152" s="185"/>
      <c r="I152" s="186"/>
      <c r="J152" s="4"/>
      <c r="K152" s="168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50</v>
      </c>
      <c r="B153" s="170">
        <f>'Données projet'!D146</f>
        <v>21</v>
      </c>
      <c r="C153" s="186"/>
      <c r="D153" s="177">
        <f t="shared" si="10"/>
        <v>0</v>
      </c>
      <c r="E153" s="188"/>
      <c r="F153" s="228"/>
      <c r="G153" s="198"/>
      <c r="H153" s="185"/>
      <c r="I153" s="186"/>
      <c r="J153" s="4"/>
      <c r="K153" s="168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55</v>
      </c>
      <c r="B154" s="170">
        <f>'Données projet'!D147</f>
        <v>21</v>
      </c>
      <c r="C154" s="186"/>
      <c r="D154" s="177">
        <f t="shared" si="10"/>
        <v>0</v>
      </c>
      <c r="E154" s="188"/>
      <c r="F154" s="228"/>
      <c r="G154" s="198"/>
      <c r="H154" s="185"/>
      <c r="I154" s="186"/>
      <c r="J154" s="4"/>
      <c r="K154" s="168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60</v>
      </c>
      <c r="B155" s="170">
        <f>'Données projet'!D148</f>
        <v>21</v>
      </c>
      <c r="C155" s="186"/>
      <c r="D155" s="177">
        <f t="shared" si="10"/>
        <v>0</v>
      </c>
      <c r="E155" s="188"/>
      <c r="F155" s="228"/>
      <c r="G155" s="198"/>
      <c r="H155" s="185"/>
      <c r="I155" s="186"/>
      <c r="J155" s="4"/>
      <c r="K155" s="168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65</v>
      </c>
      <c r="B156" s="170">
        <f>'Données projet'!D149</f>
        <v>21</v>
      </c>
      <c r="C156" s="186"/>
      <c r="D156" s="177">
        <f t="shared" si="10"/>
        <v>0</v>
      </c>
      <c r="E156" s="188"/>
      <c r="F156" s="228"/>
      <c r="G156" s="198"/>
      <c r="H156" s="185"/>
      <c r="I156" s="186"/>
      <c r="J156" s="4"/>
      <c r="K156" s="168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70</v>
      </c>
      <c r="B157" s="170">
        <f>'Données projet'!D150</f>
        <v>21</v>
      </c>
      <c r="C157" s="186"/>
      <c r="D157" s="177">
        <f t="shared" si="10"/>
        <v>0</v>
      </c>
      <c r="E157" s="188"/>
      <c r="F157" s="228"/>
      <c r="G157" s="198"/>
      <c r="H157" s="185"/>
      <c r="I157" s="186"/>
      <c r="J157" s="4"/>
      <c r="K157" s="168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75</v>
      </c>
      <c r="B158" s="170">
        <f>'Données projet'!D151</f>
        <v>21</v>
      </c>
      <c r="C158" s="186"/>
      <c r="D158" s="177">
        <f t="shared" si="10"/>
        <v>0</v>
      </c>
      <c r="E158" s="188"/>
      <c r="F158" s="228"/>
      <c r="G158" s="198"/>
      <c r="H158" s="185"/>
      <c r="I158" s="186"/>
      <c r="J158" s="4"/>
      <c r="K158" s="168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80</v>
      </c>
      <c r="B159" s="170">
        <f>'Données projet'!D152</f>
        <v>21</v>
      </c>
      <c r="C159" s="186"/>
      <c r="D159" s="177">
        <f t="shared" si="10"/>
        <v>0</v>
      </c>
      <c r="E159" s="188"/>
      <c r="F159" s="228"/>
      <c r="G159" s="198"/>
      <c r="H159" s="185"/>
      <c r="I159" s="186"/>
      <c r="J159" s="4"/>
      <c r="K159" s="168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85</v>
      </c>
      <c r="B160" s="170">
        <f>'Données projet'!D153</f>
        <v>21</v>
      </c>
      <c r="C160" s="186"/>
      <c r="D160" s="177">
        <f t="shared" si="10"/>
        <v>0</v>
      </c>
      <c r="E160" s="188"/>
      <c r="F160" s="228"/>
      <c r="G160" s="198"/>
      <c r="H160" s="185"/>
      <c r="I160" s="186"/>
      <c r="J160" s="4"/>
      <c r="K160" s="168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90</v>
      </c>
      <c r="B161" s="170">
        <f>'Données projet'!D154</f>
        <v>21</v>
      </c>
      <c r="C161" s="186"/>
      <c r="D161" s="177">
        <f t="shared" si="10"/>
        <v>0</v>
      </c>
      <c r="E161" s="188"/>
      <c r="F161" s="228"/>
      <c r="G161" s="198"/>
      <c r="H161" s="185"/>
      <c r="I161" s="186"/>
      <c r="J161" s="4"/>
      <c r="K161" s="168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95</v>
      </c>
      <c r="B162" s="170">
        <f>'Données projet'!D155</f>
        <v>21</v>
      </c>
      <c r="C162" s="186"/>
      <c r="D162" s="177">
        <f t="shared" si="10"/>
        <v>0</v>
      </c>
      <c r="E162" s="188"/>
      <c r="F162" s="228"/>
      <c r="G162" s="198"/>
      <c r="H162" s="185"/>
      <c r="I162" s="186"/>
      <c r="J162" s="4"/>
      <c r="K162" s="168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100</v>
      </c>
      <c r="B163" s="170">
        <f>'Données projet'!D156</f>
        <v>21</v>
      </c>
      <c r="C163" s="186"/>
      <c r="D163" s="177">
        <f t="shared" si="10"/>
        <v>0</v>
      </c>
      <c r="E163" s="188"/>
      <c r="F163" s="228"/>
      <c r="G163" s="198"/>
      <c r="H163" s="185"/>
      <c r="I163" s="186"/>
      <c r="J163" s="4"/>
      <c r="K163" s="168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105</v>
      </c>
      <c r="B164" s="170">
        <f>'Données projet'!D157</f>
        <v>20</v>
      </c>
      <c r="C164" s="186"/>
      <c r="D164" s="177">
        <f t="shared" si="10"/>
        <v>0</v>
      </c>
      <c r="E164" s="188"/>
      <c r="F164" s="228"/>
      <c r="G164" s="198"/>
      <c r="H164" s="185"/>
      <c r="I164" s="186"/>
      <c r="J164" s="4"/>
      <c r="K164" s="168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110</v>
      </c>
      <c r="B165" s="170">
        <f>'Données projet'!D158</f>
        <v>19</v>
      </c>
      <c r="C165" s="186"/>
      <c r="D165" s="177">
        <f t="shared" si="10"/>
        <v>0</v>
      </c>
      <c r="E165" s="188"/>
      <c r="F165" s="228"/>
      <c r="G165" s="198"/>
      <c r="H165" s="185"/>
      <c r="I165" s="186"/>
      <c r="J165" s="4"/>
      <c r="K165" s="168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115</v>
      </c>
      <c r="B166" s="170">
        <f>'Données projet'!D159</f>
        <v>18</v>
      </c>
      <c r="C166" s="186"/>
      <c r="D166" s="177">
        <f t="shared" si="10"/>
        <v>0</v>
      </c>
      <c r="E166" s="188"/>
      <c r="F166" s="228"/>
      <c r="G166" s="198"/>
      <c r="H166" s="185"/>
      <c r="I166" s="186"/>
      <c r="J166" s="4"/>
      <c r="K166" s="168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5"/>
      <c r="G167" s="198"/>
      <c r="H167" s="185"/>
      <c r="I167" s="186"/>
      <c r="J167" s="4"/>
      <c r="K167" s="168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5"/>
      <c r="G168" s="198"/>
      <c r="H168" s="185"/>
      <c r="I168" s="186"/>
      <c r="J168" s="4"/>
      <c r="K168" s="168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69" t="str">
        <f>IF('Données projet'!B14="","",'Données projet'!B14)</f>
        <v>Châtaignier</v>
      </c>
      <c r="C169" s="4"/>
      <c r="D169" s="4"/>
      <c r="E169" s="4"/>
      <c r="F169" s="225"/>
      <c r="G169" s="198"/>
      <c r="H169" s="185"/>
      <c r="I169" s="186"/>
      <c r="J169" s="4"/>
      <c r="K169" s="168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5"/>
      <c r="G170" s="198"/>
      <c r="H170" s="185"/>
      <c r="I170" s="186"/>
      <c r="J170" s="4"/>
      <c r="K170" s="168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6"/>
      <c r="G171" s="198"/>
      <c r="H171" s="185"/>
      <c r="I171" s="186"/>
      <c r="J171" s="4"/>
      <c r="K171" s="168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4" t="s">
        <v>132</v>
      </c>
      <c r="C172" s="193" t="s">
        <v>132</v>
      </c>
      <c r="D172" s="192" t="s">
        <v>132</v>
      </c>
      <c r="E172" s="261">
        <v>2876.58</v>
      </c>
      <c r="F172" s="226"/>
      <c r="G172" s="198"/>
      <c r="H172" s="185"/>
      <c r="I172" s="186"/>
      <c r="J172" s="4"/>
      <c r="K172" s="168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4" t="s">
        <v>132</v>
      </c>
      <c r="C173" s="193" t="s">
        <v>132</v>
      </c>
      <c r="D173" s="192" t="s">
        <v>132</v>
      </c>
      <c r="E173" s="188"/>
      <c r="F173" s="226"/>
      <c r="G173" s="23"/>
      <c r="H173" s="185"/>
      <c r="I173" s="186"/>
      <c r="J173" s="4"/>
      <c r="K173" s="168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4" t="s">
        <v>132</v>
      </c>
      <c r="C174" s="193" t="s">
        <v>132</v>
      </c>
      <c r="D174" s="192" t="s">
        <v>132</v>
      </c>
      <c r="E174" s="188"/>
      <c r="F174" s="226"/>
      <c r="G174" s="23"/>
      <c r="H174" s="185"/>
      <c r="I174" s="186"/>
      <c r="J174" s="4"/>
      <c r="K174" s="168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4" t="s">
        <v>132</v>
      </c>
      <c r="C175" s="193" t="s">
        <v>132</v>
      </c>
      <c r="D175" s="192" t="s">
        <v>132</v>
      </c>
      <c r="E175" s="188"/>
      <c r="F175" s="226"/>
      <c r="G175" s="23"/>
      <c r="H175" s="185"/>
      <c r="I175" s="186"/>
      <c r="J175" s="4"/>
      <c r="K175" s="168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4" t="s">
        <v>132</v>
      </c>
      <c r="C176" s="193" t="s">
        <v>132</v>
      </c>
      <c r="D176" s="192" t="s">
        <v>132</v>
      </c>
      <c r="E176" s="188"/>
      <c r="F176" s="226"/>
      <c r="G176" s="23"/>
      <c r="H176" s="185"/>
      <c r="I176" s="186"/>
      <c r="J176" s="4"/>
      <c r="K176" s="168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4" t="s">
        <v>132</v>
      </c>
      <c r="C177" s="193" t="s">
        <v>132</v>
      </c>
      <c r="D177" s="192" t="s">
        <v>132</v>
      </c>
      <c r="E177" s="188"/>
      <c r="F177" s="226"/>
      <c r="G177" s="200"/>
      <c r="H177" s="185"/>
      <c r="I177" s="186"/>
      <c r="J177" s="4"/>
      <c r="K177" s="168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5">
        <f>'Données projet'!A166</f>
        <v>10</v>
      </c>
      <c r="B178" s="176">
        <f>'Données projet'!D166</f>
        <v>0</v>
      </c>
      <c r="C178" s="188"/>
      <c r="D178" s="174">
        <f>B178*C178</f>
        <v>0</v>
      </c>
      <c r="E178" s="188"/>
      <c r="F178" s="227"/>
      <c r="G178" s="200"/>
      <c r="H178" s="185"/>
      <c r="I178" s="186"/>
      <c r="J178" s="4"/>
      <c r="K178" s="168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5">
        <f>'Données projet'!A167</f>
        <v>15</v>
      </c>
      <c r="B179" s="176">
        <f>'Données projet'!D167</f>
        <v>0</v>
      </c>
      <c r="C179" s="188"/>
      <c r="D179" s="174">
        <f t="shared" ref="D179:D197" si="11">B179*C179</f>
        <v>0</v>
      </c>
      <c r="E179" s="188"/>
      <c r="F179" s="227"/>
      <c r="G179" s="200"/>
      <c r="H179" s="185"/>
      <c r="I179" s="186"/>
      <c r="J179" s="4"/>
      <c r="K179" s="168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5">
        <f>'Données projet'!A168</f>
        <v>18</v>
      </c>
      <c r="B180" s="176">
        <f>'Données projet'!D168</f>
        <v>94</v>
      </c>
      <c r="C180" s="188">
        <v>13</v>
      </c>
      <c r="D180" s="174">
        <f t="shared" si="11"/>
        <v>1222</v>
      </c>
      <c r="E180" s="188"/>
      <c r="F180" s="227"/>
      <c r="G180" s="200"/>
      <c r="H180" s="185"/>
      <c r="I180" s="186"/>
      <c r="J180" s="4"/>
      <c r="K180" s="168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5">
        <f>'Données projet'!A169</f>
        <v>22</v>
      </c>
      <c r="B181" s="176">
        <f>'Données projet'!D169</f>
        <v>54</v>
      </c>
      <c r="C181" s="188">
        <v>13</v>
      </c>
      <c r="D181" s="174">
        <f t="shared" si="11"/>
        <v>702</v>
      </c>
      <c r="E181" s="188"/>
      <c r="F181" s="227"/>
      <c r="G181" s="200"/>
      <c r="H181" s="185"/>
      <c r="I181" s="186"/>
      <c r="J181" s="4"/>
      <c r="K181" s="168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5">
        <f>'Données projet'!A170</f>
        <v>27</v>
      </c>
      <c r="B182" s="176">
        <f>'Données projet'!D170</f>
        <v>38</v>
      </c>
      <c r="C182" s="188">
        <v>13</v>
      </c>
      <c r="D182" s="174">
        <f t="shared" si="11"/>
        <v>494</v>
      </c>
      <c r="E182" s="188"/>
      <c r="F182" s="227"/>
      <c r="G182" s="200"/>
      <c r="H182" s="185"/>
      <c r="I182" s="186"/>
      <c r="J182" s="4"/>
      <c r="K182" s="168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5">
        <f>'Données projet'!A171</f>
        <v>35</v>
      </c>
      <c r="B183" s="176">
        <f>'Données projet'!D171</f>
        <v>0</v>
      </c>
      <c r="C183" s="188"/>
      <c r="D183" s="174">
        <f t="shared" si="11"/>
        <v>0</v>
      </c>
      <c r="E183" s="188"/>
      <c r="F183" s="227"/>
      <c r="G183" s="200"/>
      <c r="H183" s="185"/>
      <c r="I183" s="186"/>
      <c r="J183" s="4"/>
      <c r="K183" s="168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5">
        <f>'Données projet'!A172</f>
        <v>40</v>
      </c>
      <c r="B184" s="176">
        <f>'Données projet'!D172</f>
        <v>0</v>
      </c>
      <c r="C184" s="188"/>
      <c r="D184" s="174">
        <f t="shared" si="11"/>
        <v>0</v>
      </c>
      <c r="E184" s="188"/>
      <c r="F184" s="227"/>
      <c r="G184" s="201"/>
      <c r="H184" s="185"/>
      <c r="I184" s="186"/>
      <c r="J184" s="4"/>
      <c r="K184" s="168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5">
        <f>'Données projet'!A173</f>
        <v>45</v>
      </c>
      <c r="B185" s="176">
        <f>'Données projet'!D173</f>
        <v>0</v>
      </c>
      <c r="C185" s="188"/>
      <c r="D185" s="174">
        <f t="shared" si="11"/>
        <v>0</v>
      </c>
      <c r="E185" s="188"/>
      <c r="F185" s="227"/>
      <c r="G185" s="201"/>
      <c r="H185" s="185"/>
      <c r="I185" s="186"/>
      <c r="J185" s="4"/>
      <c r="K185" s="168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5">
        <f>'Données projet'!A174</f>
        <v>50</v>
      </c>
      <c r="B186" s="176">
        <f>'Données projet'!D174</f>
        <v>0</v>
      </c>
      <c r="C186" s="188"/>
      <c r="D186" s="174">
        <f t="shared" si="11"/>
        <v>0</v>
      </c>
      <c r="E186" s="188"/>
      <c r="F186" s="227"/>
      <c r="G186" s="201"/>
      <c r="H186" s="185"/>
      <c r="I186" s="186"/>
      <c r="J186" s="4"/>
      <c r="K186" s="168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5">
        <f>'Données projet'!A175</f>
        <v>0</v>
      </c>
      <c r="B187" s="176">
        <f>'Données projet'!D175</f>
        <v>0</v>
      </c>
      <c r="C187" s="188"/>
      <c r="D187" s="174">
        <f t="shared" si="11"/>
        <v>0</v>
      </c>
      <c r="E187" s="188"/>
      <c r="F187" s="227"/>
      <c r="G187" s="201"/>
      <c r="H187" s="185"/>
      <c r="I187" s="186"/>
      <c r="J187" s="4"/>
      <c r="K187" s="168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5">
        <f>'Données projet'!A176</f>
        <v>0</v>
      </c>
      <c r="B188" s="176">
        <f>'Données projet'!D176</f>
        <v>0</v>
      </c>
      <c r="C188" s="188"/>
      <c r="D188" s="174">
        <f t="shared" si="11"/>
        <v>0</v>
      </c>
      <c r="E188" s="188"/>
      <c r="F188" s="227"/>
      <c r="G188" s="201"/>
      <c r="H188" s="185"/>
      <c r="I188" s="186"/>
      <c r="J188" s="4"/>
      <c r="K188" s="168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5">
        <f>'Données projet'!A177</f>
        <v>0</v>
      </c>
      <c r="B189" s="176">
        <f>'Données projet'!D177</f>
        <v>0</v>
      </c>
      <c r="C189" s="188"/>
      <c r="D189" s="174">
        <f t="shared" si="11"/>
        <v>0</v>
      </c>
      <c r="E189" s="188"/>
      <c r="F189" s="227"/>
      <c r="G189" s="201"/>
      <c r="H189" s="185"/>
      <c r="I189" s="186"/>
      <c r="J189" s="4"/>
      <c r="K189" s="168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5">
        <f>'Données projet'!A178</f>
        <v>0</v>
      </c>
      <c r="B190" s="176">
        <f>'Données projet'!D178</f>
        <v>0</v>
      </c>
      <c r="C190" s="188"/>
      <c r="D190" s="174">
        <f t="shared" si="11"/>
        <v>0</v>
      </c>
      <c r="E190" s="188"/>
      <c r="F190" s="227"/>
      <c r="G190" s="201"/>
      <c r="H190" s="185"/>
      <c r="I190" s="186"/>
      <c r="J190" s="4"/>
      <c r="K190" s="168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5">
        <f>'Données projet'!A179</f>
        <v>0</v>
      </c>
      <c r="B191" s="176">
        <f>'Données projet'!D179</f>
        <v>0</v>
      </c>
      <c r="C191" s="188"/>
      <c r="D191" s="174">
        <f t="shared" si="11"/>
        <v>0</v>
      </c>
      <c r="E191" s="188"/>
      <c r="F191" s="227"/>
      <c r="G191" s="201"/>
      <c r="H191" s="185"/>
      <c r="I191" s="186"/>
      <c r="J191" s="4"/>
      <c r="K191" s="168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5">
        <f>'Données projet'!A180</f>
        <v>0</v>
      </c>
      <c r="B192" s="176">
        <f>'Données projet'!D180</f>
        <v>0</v>
      </c>
      <c r="C192" s="188"/>
      <c r="D192" s="174">
        <f t="shared" si="11"/>
        <v>0</v>
      </c>
      <c r="E192" s="188"/>
      <c r="F192" s="227"/>
      <c r="G192" s="201"/>
      <c r="H192" s="185"/>
      <c r="I192" s="186"/>
      <c r="J192" s="4"/>
      <c r="K192" s="168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5">
        <f>'Données projet'!A181</f>
        <v>0</v>
      </c>
      <c r="B193" s="176">
        <f>'Données projet'!D181</f>
        <v>0</v>
      </c>
      <c r="C193" s="188"/>
      <c r="D193" s="174">
        <f t="shared" si="11"/>
        <v>0</v>
      </c>
      <c r="E193" s="188"/>
      <c r="F193" s="227"/>
      <c r="G193" s="201"/>
      <c r="H193" s="185"/>
      <c r="I193" s="186"/>
      <c r="J193" s="4"/>
      <c r="K193" s="168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5">
        <f>'Données projet'!A182</f>
        <v>0</v>
      </c>
      <c r="B194" s="176">
        <f>'Données projet'!D182</f>
        <v>0</v>
      </c>
      <c r="C194" s="188"/>
      <c r="D194" s="174">
        <f t="shared" si="11"/>
        <v>0</v>
      </c>
      <c r="E194" s="188"/>
      <c r="F194" s="227"/>
      <c r="G194" s="201"/>
      <c r="H194" s="185"/>
      <c r="I194" s="186"/>
      <c r="J194" s="4"/>
      <c r="K194" s="168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5">
        <f>'Données projet'!A183</f>
        <v>0</v>
      </c>
      <c r="B195" s="176">
        <f>'Données projet'!D183</f>
        <v>0</v>
      </c>
      <c r="C195" s="188"/>
      <c r="D195" s="174">
        <f t="shared" si="11"/>
        <v>0</v>
      </c>
      <c r="E195" s="188"/>
      <c r="F195" s="227"/>
      <c r="G195" s="201"/>
      <c r="H195" s="185"/>
      <c r="I195" s="186"/>
      <c r="J195" s="4"/>
      <c r="K195" s="168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5">
        <f>'Données projet'!A184</f>
        <v>0</v>
      </c>
      <c r="B196" s="176">
        <f>'Données projet'!D184</f>
        <v>0</v>
      </c>
      <c r="C196" s="188"/>
      <c r="D196" s="174">
        <f t="shared" si="11"/>
        <v>0</v>
      </c>
      <c r="E196" s="188"/>
      <c r="F196" s="227"/>
      <c r="G196" s="201"/>
      <c r="H196" s="185"/>
      <c r="I196" s="186"/>
      <c r="J196" s="4"/>
      <c r="K196" s="168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5">
        <f>'Données projet'!A185</f>
        <v>0</v>
      </c>
      <c r="B197" s="176">
        <f>'Données projet'!D185</f>
        <v>0</v>
      </c>
      <c r="C197" s="188"/>
      <c r="D197" s="174">
        <f t="shared" si="11"/>
        <v>0</v>
      </c>
      <c r="E197" s="188"/>
      <c r="F197" s="227"/>
      <c r="G197" s="201"/>
      <c r="H197" s="185"/>
      <c r="I197" s="186"/>
      <c r="J197" s="4"/>
      <c r="K197" s="168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5"/>
      <c r="G198" s="201"/>
      <c r="H198" s="185"/>
      <c r="I198" s="186"/>
      <c r="J198" s="4"/>
      <c r="K198" s="168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5"/>
      <c r="G199" s="201"/>
      <c r="H199" s="185"/>
      <c r="I199" s="186"/>
      <c r="J199" s="4"/>
      <c r="K199" s="168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69" t="str">
        <f>IF('Données projet'!$B$15="","",'Données projet'!$B$15)</f>
        <v>Hêtre</v>
      </c>
      <c r="C200" s="4"/>
      <c r="D200" s="4"/>
      <c r="E200" s="4"/>
      <c r="F200" s="225"/>
      <c r="G200" s="201"/>
      <c r="H200" s="185"/>
      <c r="I200" s="186"/>
      <c r="J200" s="4"/>
      <c r="K200" s="168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5"/>
      <c r="G201" s="201"/>
      <c r="H201" s="185"/>
      <c r="I201" s="186"/>
      <c r="J201" s="4"/>
      <c r="K201" s="168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6"/>
      <c r="G202" s="201"/>
      <c r="H202" s="185"/>
      <c r="I202" s="186"/>
      <c r="J202" s="4"/>
      <c r="K202" s="168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4" t="s">
        <v>132</v>
      </c>
      <c r="C203" s="193" t="s">
        <v>132</v>
      </c>
      <c r="D203" s="192" t="s">
        <v>132</v>
      </c>
      <c r="E203" s="261">
        <v>2496.48</v>
      </c>
      <c r="F203" s="226"/>
      <c r="G203" s="201"/>
      <c r="H203" s="185"/>
      <c r="I203" s="186"/>
      <c r="J203" s="4"/>
      <c r="K203" s="168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4" t="s">
        <v>132</v>
      </c>
      <c r="C204" s="193" t="s">
        <v>132</v>
      </c>
      <c r="D204" s="192" t="s">
        <v>132</v>
      </c>
      <c r="E204" s="188"/>
      <c r="F204" s="226"/>
      <c r="G204" s="23"/>
      <c r="H204" s="185"/>
      <c r="I204" s="186"/>
      <c r="J204" s="4"/>
      <c r="K204" s="168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4" t="s">
        <v>132</v>
      </c>
      <c r="C205" s="193" t="s">
        <v>132</v>
      </c>
      <c r="D205" s="192" t="s">
        <v>132</v>
      </c>
      <c r="E205" s="188"/>
      <c r="F205" s="226"/>
      <c r="G205" s="23"/>
      <c r="H205" s="185"/>
      <c r="I205" s="186"/>
      <c r="J205" s="4"/>
      <c r="K205" s="168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4" t="s">
        <v>132</v>
      </c>
      <c r="C206" s="193" t="s">
        <v>132</v>
      </c>
      <c r="D206" s="192" t="s">
        <v>132</v>
      </c>
      <c r="E206" s="188"/>
      <c r="F206" s="226"/>
      <c r="G206" s="23"/>
      <c r="H206" s="185"/>
      <c r="I206" s="186"/>
      <c r="J206" s="4"/>
      <c r="K206" s="168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4" t="s">
        <v>132</v>
      </c>
      <c r="C207" s="193" t="s">
        <v>132</v>
      </c>
      <c r="D207" s="192" t="s">
        <v>132</v>
      </c>
      <c r="E207" s="188"/>
      <c r="F207" s="226"/>
      <c r="G207" s="23"/>
      <c r="H207" s="185"/>
      <c r="I207" s="186"/>
      <c r="J207" s="4"/>
      <c r="K207" s="168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4" t="s">
        <v>132</v>
      </c>
      <c r="C208" s="193" t="s">
        <v>132</v>
      </c>
      <c r="D208" s="192" t="s">
        <v>132</v>
      </c>
      <c r="E208" s="188"/>
      <c r="F208" s="226"/>
      <c r="G208" s="200"/>
      <c r="H208" s="185"/>
      <c r="I208" s="186"/>
      <c r="J208" s="4"/>
      <c r="K208" s="168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5">
        <f>'Données projet'!A192</f>
        <v>20</v>
      </c>
      <c r="B209" s="176">
        <f>'Données projet'!D192</f>
        <v>0</v>
      </c>
      <c r="C209" s="188"/>
      <c r="D209" s="174">
        <f>B209*C209</f>
        <v>0</v>
      </c>
      <c r="E209" s="188"/>
      <c r="F209" s="227"/>
      <c r="G209" s="200"/>
      <c r="H209" s="185"/>
      <c r="I209" s="186"/>
      <c r="J209" s="4"/>
      <c r="K209" s="168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5">
        <f>'Données projet'!A193</f>
        <v>25</v>
      </c>
      <c r="B210" s="176">
        <f>'Données projet'!D193</f>
        <v>7</v>
      </c>
      <c r="C210" s="188">
        <v>13</v>
      </c>
      <c r="D210" s="174">
        <f t="shared" ref="D210:D228" si="12">B210*C210</f>
        <v>91</v>
      </c>
      <c r="E210" s="188"/>
      <c r="F210" s="227"/>
      <c r="G210" s="200"/>
      <c r="H210" s="185"/>
      <c r="I210" s="186"/>
      <c r="J210" s="4"/>
      <c r="K210" s="168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5">
        <f>'Données projet'!A194</f>
        <v>30</v>
      </c>
      <c r="B211" s="176">
        <f>'Données projet'!D194</f>
        <v>28</v>
      </c>
      <c r="C211" s="188">
        <v>13</v>
      </c>
      <c r="D211" s="174">
        <f t="shared" si="12"/>
        <v>364</v>
      </c>
      <c r="E211" s="188"/>
      <c r="F211" s="227"/>
      <c r="G211" s="200"/>
      <c r="H211" s="185"/>
      <c r="I211" s="186"/>
      <c r="J211" s="4"/>
      <c r="K211" s="168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5">
        <f>'Données projet'!A195</f>
        <v>35</v>
      </c>
      <c r="B212" s="176">
        <f>'Données projet'!D195</f>
        <v>28</v>
      </c>
      <c r="C212" s="188"/>
      <c r="D212" s="174">
        <f t="shared" si="12"/>
        <v>0</v>
      </c>
      <c r="E212" s="188"/>
      <c r="F212" s="227"/>
      <c r="G212" s="200"/>
      <c r="H212" s="185"/>
      <c r="I212" s="186"/>
      <c r="J212" s="4"/>
      <c r="K212" s="168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5">
        <f>'Données projet'!A196</f>
        <v>40</v>
      </c>
      <c r="B213" s="176">
        <f>'Données projet'!D196</f>
        <v>28</v>
      </c>
      <c r="C213" s="188"/>
      <c r="D213" s="174">
        <f t="shared" si="12"/>
        <v>0</v>
      </c>
      <c r="E213" s="188"/>
      <c r="F213" s="227"/>
      <c r="G213" s="200"/>
      <c r="H213" s="185"/>
      <c r="I213" s="186"/>
      <c r="J213" s="4"/>
      <c r="K213" s="168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5">
        <f>'Données projet'!A197</f>
        <v>45</v>
      </c>
      <c r="B214" s="176">
        <f>'Données projet'!D197</f>
        <v>28</v>
      </c>
      <c r="C214" s="188"/>
      <c r="D214" s="174">
        <f t="shared" si="12"/>
        <v>0</v>
      </c>
      <c r="E214" s="188"/>
      <c r="F214" s="227"/>
      <c r="G214" s="200"/>
      <c r="H214" s="185"/>
      <c r="I214" s="186"/>
      <c r="J214" s="4"/>
      <c r="K214" s="168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5">
        <f>'Données projet'!A198</f>
        <v>50</v>
      </c>
      <c r="B215" s="176">
        <f>'Données projet'!D198</f>
        <v>28</v>
      </c>
      <c r="C215" s="188"/>
      <c r="D215" s="174">
        <f t="shared" si="12"/>
        <v>0</v>
      </c>
      <c r="E215" s="188"/>
      <c r="F215" s="227"/>
      <c r="G215" s="201"/>
      <c r="H215" s="185"/>
      <c r="I215" s="186"/>
      <c r="J215" s="4"/>
      <c r="K215" s="168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5">
        <f>'Données projet'!A199</f>
        <v>55</v>
      </c>
      <c r="B216" s="176">
        <f>'Données projet'!D199</f>
        <v>28</v>
      </c>
      <c r="C216" s="188"/>
      <c r="D216" s="174">
        <f t="shared" si="12"/>
        <v>0</v>
      </c>
      <c r="E216" s="188"/>
      <c r="F216" s="227"/>
      <c r="G216" s="201"/>
      <c r="H216" s="185"/>
      <c r="I216" s="186"/>
      <c r="J216" s="4"/>
      <c r="K216" s="168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5">
        <f>'Données projet'!A200</f>
        <v>60</v>
      </c>
      <c r="B217" s="176">
        <f>'Données projet'!D200</f>
        <v>28</v>
      </c>
      <c r="C217" s="188"/>
      <c r="D217" s="174">
        <f t="shared" si="12"/>
        <v>0</v>
      </c>
      <c r="E217" s="188"/>
      <c r="F217" s="227"/>
      <c r="G217" s="201"/>
      <c r="H217" s="185"/>
      <c r="I217" s="186"/>
      <c r="J217" s="4"/>
      <c r="K217" s="168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5">
        <f>'Données projet'!A201</f>
        <v>65</v>
      </c>
      <c r="B218" s="176">
        <f>'Données projet'!D201</f>
        <v>28</v>
      </c>
      <c r="C218" s="188"/>
      <c r="D218" s="174">
        <f t="shared" si="12"/>
        <v>0</v>
      </c>
      <c r="E218" s="188"/>
      <c r="F218" s="227"/>
      <c r="G218" s="201"/>
      <c r="H218" s="185"/>
      <c r="I218" s="186"/>
      <c r="J218" s="4"/>
      <c r="K218" s="168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5">
        <f>'Données projet'!A202</f>
        <v>70</v>
      </c>
      <c r="B219" s="176">
        <f>'Données projet'!D202</f>
        <v>28</v>
      </c>
      <c r="C219" s="188"/>
      <c r="D219" s="174">
        <f t="shared" si="12"/>
        <v>0</v>
      </c>
      <c r="E219" s="188"/>
      <c r="F219" s="227"/>
      <c r="G219" s="201"/>
      <c r="H219" s="185"/>
      <c r="I219" s="186"/>
      <c r="J219" s="4"/>
      <c r="K219" s="168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5">
        <f>'Données projet'!A203</f>
        <v>75</v>
      </c>
      <c r="B220" s="176">
        <f>'Données projet'!D203</f>
        <v>28</v>
      </c>
      <c r="C220" s="188"/>
      <c r="D220" s="174">
        <f t="shared" si="12"/>
        <v>0</v>
      </c>
      <c r="E220" s="188"/>
      <c r="F220" s="227"/>
      <c r="G220" s="201"/>
      <c r="H220" s="4"/>
      <c r="I220" s="4"/>
      <c r="J220" s="4"/>
      <c r="K220" s="168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5">
        <f>'Données projet'!A204</f>
        <v>80</v>
      </c>
      <c r="B221" s="176">
        <f>'Données projet'!D204</f>
        <v>28</v>
      </c>
      <c r="C221" s="188"/>
      <c r="D221" s="174">
        <f t="shared" si="12"/>
        <v>0</v>
      </c>
      <c r="E221" s="188"/>
      <c r="F221" s="227"/>
      <c r="G221" s="201"/>
      <c r="H221" s="4"/>
      <c r="I221" s="4"/>
      <c r="J221" s="4"/>
      <c r="K221" s="168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5">
        <f>'Données projet'!A205</f>
        <v>85</v>
      </c>
      <c r="B222" s="176">
        <f>'Données projet'!D205</f>
        <v>27</v>
      </c>
      <c r="C222" s="188"/>
      <c r="D222" s="174">
        <f t="shared" si="12"/>
        <v>0</v>
      </c>
      <c r="E222" s="188"/>
      <c r="F222" s="227"/>
      <c r="G222" s="201"/>
      <c r="H222" s="4"/>
      <c r="I222" s="4"/>
      <c r="J222" s="4"/>
      <c r="K222" s="168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5">
        <f>'Données projet'!A206</f>
        <v>90</v>
      </c>
      <c r="B223" s="176">
        <f>'Données projet'!D206</f>
        <v>26</v>
      </c>
      <c r="C223" s="188"/>
      <c r="D223" s="174">
        <f t="shared" si="12"/>
        <v>0</v>
      </c>
      <c r="E223" s="188"/>
      <c r="F223" s="227"/>
      <c r="G223" s="201"/>
      <c r="H223" s="4"/>
      <c r="I223" s="4"/>
      <c r="J223" s="4"/>
      <c r="K223" s="168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5">
        <f>'Données projet'!A207</f>
        <v>95</v>
      </c>
      <c r="B224" s="176">
        <f>'Données projet'!D207</f>
        <v>25</v>
      </c>
      <c r="C224" s="188"/>
      <c r="D224" s="174">
        <f t="shared" si="12"/>
        <v>0</v>
      </c>
      <c r="E224" s="188"/>
      <c r="F224" s="227"/>
      <c r="G224" s="201"/>
      <c r="H224" s="4"/>
      <c r="I224" s="4"/>
      <c r="J224" s="4"/>
      <c r="K224" s="168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5">
        <f>'Données projet'!A208</f>
        <v>100</v>
      </c>
      <c r="B225" s="176">
        <f>'Données projet'!D208</f>
        <v>24</v>
      </c>
      <c r="C225" s="188"/>
      <c r="D225" s="174">
        <f t="shared" si="12"/>
        <v>0</v>
      </c>
      <c r="E225" s="188"/>
      <c r="F225" s="227"/>
      <c r="G225" s="201"/>
      <c r="H225" s="4"/>
      <c r="I225" s="4"/>
      <c r="J225" s="4"/>
      <c r="K225" s="168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5">
        <f>'Données projet'!A209</f>
        <v>105</v>
      </c>
      <c r="B226" s="176">
        <f>'Données projet'!D209</f>
        <v>23</v>
      </c>
      <c r="C226" s="188"/>
      <c r="D226" s="174">
        <f t="shared" si="12"/>
        <v>0</v>
      </c>
      <c r="E226" s="188"/>
      <c r="F226" s="227"/>
      <c r="G226" s="201"/>
      <c r="H226" s="4"/>
      <c r="I226" s="4"/>
      <c r="J226" s="4"/>
      <c r="K226" s="168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5">
        <f>'Données projet'!A210</f>
        <v>110</v>
      </c>
      <c r="B227" s="176">
        <f>'Données projet'!D210</f>
        <v>22</v>
      </c>
      <c r="C227" s="188"/>
      <c r="D227" s="174">
        <f t="shared" si="12"/>
        <v>0</v>
      </c>
      <c r="E227" s="188"/>
      <c r="F227" s="227"/>
      <c r="G227" s="201"/>
      <c r="H227" s="4"/>
      <c r="I227" s="4"/>
      <c r="J227" s="4"/>
      <c r="K227" s="168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5">
        <f>'Données projet'!A211</f>
        <v>115</v>
      </c>
      <c r="B228" s="176">
        <f>'Données projet'!D211</f>
        <v>21</v>
      </c>
      <c r="C228" s="188"/>
      <c r="D228" s="174">
        <f t="shared" si="12"/>
        <v>0</v>
      </c>
      <c r="E228" s="188"/>
      <c r="F228" s="227"/>
      <c r="G228" s="201"/>
      <c r="H228" s="4"/>
      <c r="I228" s="4"/>
      <c r="J228" s="4"/>
      <c r="K228" s="168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5"/>
      <c r="G229" s="201"/>
      <c r="H229" s="4"/>
      <c r="I229" s="4"/>
      <c r="J229" s="4"/>
      <c r="K229" s="168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5"/>
      <c r="G230" s="201"/>
      <c r="H230" s="4"/>
      <c r="I230" s="4"/>
      <c r="J230" s="4"/>
      <c r="K230" s="168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69" t="str">
        <f>IF('Données projet'!$B$16="","",'Données projet'!$B$16)</f>
        <v/>
      </c>
      <c r="C231" s="4"/>
      <c r="D231" s="4"/>
      <c r="E231" s="4"/>
      <c r="F231" s="225"/>
      <c r="G231" s="201"/>
      <c r="H231" s="4"/>
      <c r="I231" s="4"/>
      <c r="J231" s="4"/>
      <c r="K231" s="168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5"/>
      <c r="G232" s="201"/>
      <c r="H232" s="4"/>
      <c r="I232" s="4"/>
      <c r="J232" s="4"/>
      <c r="K232" s="168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6"/>
      <c r="G233" s="201"/>
      <c r="H233" s="4"/>
      <c r="I233" s="4"/>
      <c r="J233" s="4"/>
      <c r="K233" s="168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4" t="s">
        <v>132</v>
      </c>
      <c r="C234" s="193" t="s">
        <v>132</v>
      </c>
      <c r="D234" s="192" t="s">
        <v>132</v>
      </c>
      <c r="E234" s="188">
        <f>982.76+4594.39</f>
        <v>5577.1500000000005</v>
      </c>
      <c r="F234" s="226"/>
      <c r="G234" s="201"/>
      <c r="H234" s="4"/>
      <c r="I234" s="4"/>
      <c r="J234" s="4"/>
      <c r="K234" s="168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4" t="s">
        <v>132</v>
      </c>
      <c r="C235" s="193" t="s">
        <v>132</v>
      </c>
      <c r="D235" s="192" t="s">
        <v>132</v>
      </c>
      <c r="E235" s="188"/>
      <c r="F235" s="226"/>
      <c r="G235" s="23"/>
      <c r="H235" s="4"/>
      <c r="I235" s="4"/>
      <c r="J235" s="4"/>
      <c r="K235" s="168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4" t="s">
        <v>132</v>
      </c>
      <c r="C236" s="193" t="s">
        <v>132</v>
      </c>
      <c r="D236" s="192" t="s">
        <v>132</v>
      </c>
      <c r="E236" s="188"/>
      <c r="F236" s="226"/>
      <c r="G236" s="23"/>
      <c r="H236" s="4"/>
      <c r="I236" s="4"/>
      <c r="J236" s="4"/>
      <c r="K236" s="168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4" t="s">
        <v>132</v>
      </c>
      <c r="C237" s="193" t="s">
        <v>132</v>
      </c>
      <c r="D237" s="192" t="s">
        <v>132</v>
      </c>
      <c r="E237" s="188"/>
      <c r="F237" s="226"/>
      <c r="G237" s="23"/>
      <c r="H237" s="4"/>
      <c r="I237" s="4"/>
      <c r="J237" s="4"/>
      <c r="K237" s="168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4" t="s">
        <v>132</v>
      </c>
      <c r="C238" s="193" t="s">
        <v>132</v>
      </c>
      <c r="D238" s="192" t="s">
        <v>132</v>
      </c>
      <c r="E238" s="188"/>
      <c r="F238" s="226"/>
      <c r="G238" s="23"/>
      <c r="H238" s="4"/>
      <c r="I238" s="4"/>
      <c r="J238" s="4"/>
      <c r="K238" s="168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4" t="s">
        <v>132</v>
      </c>
      <c r="C239" s="193" t="s">
        <v>132</v>
      </c>
      <c r="D239" s="192" t="s">
        <v>132</v>
      </c>
      <c r="E239" s="188"/>
      <c r="F239" s="226"/>
      <c r="G239" s="200"/>
      <c r="H239" s="4"/>
      <c r="I239" s="4"/>
      <c r="J239" s="4"/>
      <c r="K239" s="168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5">
        <f>'Données projet'!A218</f>
        <v>0</v>
      </c>
      <c r="B240" s="176">
        <f>'Données projet'!D218</f>
        <v>0</v>
      </c>
      <c r="C240" s="188">
        <v>22.5</v>
      </c>
      <c r="D240" s="174">
        <f>B240*C240</f>
        <v>0</v>
      </c>
      <c r="E240" s="188"/>
      <c r="F240" s="227"/>
      <c r="G240" s="200"/>
      <c r="H240" s="4"/>
      <c r="I240" s="4"/>
      <c r="J240" s="4"/>
      <c r="K240" s="168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5">
        <f>'Données projet'!A219</f>
        <v>0</v>
      </c>
      <c r="B241" s="176">
        <f>'Données projet'!D219</f>
        <v>0</v>
      </c>
      <c r="C241" s="188">
        <v>22.5</v>
      </c>
      <c r="D241" s="174">
        <f t="shared" ref="D241:D259" si="13">B241*C241</f>
        <v>0</v>
      </c>
      <c r="E241" s="188"/>
      <c r="F241" s="227"/>
      <c r="G241" s="200"/>
      <c r="H241" s="4"/>
      <c r="I241" s="4"/>
      <c r="J241" s="4"/>
      <c r="K241" s="168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5">
        <f>'Données projet'!A220</f>
        <v>0</v>
      </c>
      <c r="B242" s="176">
        <f>'Données projet'!D220</f>
        <v>0</v>
      </c>
      <c r="C242" s="188">
        <v>22.5</v>
      </c>
      <c r="D242" s="174">
        <f t="shared" si="13"/>
        <v>0</v>
      </c>
      <c r="E242" s="188"/>
      <c r="F242" s="227"/>
      <c r="G242" s="200"/>
      <c r="H242" s="4"/>
      <c r="I242" s="4"/>
      <c r="J242" s="4"/>
      <c r="K242" s="168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5">
        <f>'Données projet'!A221</f>
        <v>0</v>
      </c>
      <c r="B243" s="176">
        <f>'Données projet'!D221</f>
        <v>0</v>
      </c>
      <c r="C243" s="188">
        <v>22.5</v>
      </c>
      <c r="D243" s="174">
        <f t="shared" si="13"/>
        <v>0</v>
      </c>
      <c r="E243" s="188"/>
      <c r="F243" s="227"/>
      <c r="G243" s="200"/>
      <c r="H243" s="4"/>
      <c r="I243" s="4"/>
      <c r="J243" s="4"/>
      <c r="K243" s="168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5">
        <f>'Données projet'!A222</f>
        <v>0</v>
      </c>
      <c r="B244" s="176">
        <f>'Données projet'!D222</f>
        <v>0</v>
      </c>
      <c r="C244" s="188">
        <v>22.5</v>
      </c>
      <c r="D244" s="174">
        <f t="shared" si="13"/>
        <v>0</v>
      </c>
      <c r="E244" s="188"/>
      <c r="F244" s="227"/>
      <c r="G244" s="200"/>
      <c r="H244" s="4"/>
      <c r="I244" s="4"/>
      <c r="J244" s="4"/>
      <c r="K244" s="168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5">
        <f>'Données projet'!A223</f>
        <v>0</v>
      </c>
      <c r="B245" s="176">
        <f>'Données projet'!D223</f>
        <v>0</v>
      </c>
      <c r="C245" s="188"/>
      <c r="D245" s="174">
        <f t="shared" si="13"/>
        <v>0</v>
      </c>
      <c r="E245" s="188"/>
      <c r="F245" s="227"/>
      <c r="G245" s="200"/>
      <c r="H245" s="4"/>
      <c r="I245" s="4"/>
      <c r="J245" s="4"/>
      <c r="K245" s="168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5">
        <f>'Données projet'!A224</f>
        <v>0</v>
      </c>
      <c r="B246" s="176">
        <f>'Données projet'!D224</f>
        <v>0</v>
      </c>
      <c r="C246" s="188"/>
      <c r="D246" s="174">
        <f t="shared" si="13"/>
        <v>0</v>
      </c>
      <c r="E246" s="188"/>
      <c r="F246" s="227"/>
      <c r="G246" s="201"/>
      <c r="H246" s="4"/>
      <c r="I246" s="4"/>
      <c r="J246" s="4"/>
      <c r="K246" s="168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5">
        <f>'Données projet'!A225</f>
        <v>0</v>
      </c>
      <c r="B247" s="176">
        <f>'Données projet'!D225</f>
        <v>0</v>
      </c>
      <c r="C247" s="188"/>
      <c r="D247" s="174">
        <f t="shared" si="13"/>
        <v>0</v>
      </c>
      <c r="E247" s="188"/>
      <c r="F247" s="227"/>
      <c r="G247" s="201"/>
      <c r="H247" s="4"/>
      <c r="I247" s="4"/>
      <c r="J247" s="4"/>
      <c r="K247" s="168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5">
        <f>'Données projet'!A226</f>
        <v>0</v>
      </c>
      <c r="B248" s="176">
        <f>'Données projet'!D226</f>
        <v>0</v>
      </c>
      <c r="C248" s="188"/>
      <c r="D248" s="174">
        <f t="shared" si="13"/>
        <v>0</v>
      </c>
      <c r="E248" s="188"/>
      <c r="F248" s="227"/>
      <c r="G248" s="201"/>
      <c r="H248" s="4"/>
      <c r="I248" s="4"/>
      <c r="J248" s="4"/>
      <c r="K248" s="168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5">
        <f>'Données projet'!A227</f>
        <v>0</v>
      </c>
      <c r="B249" s="176">
        <f>'Données projet'!D227</f>
        <v>0</v>
      </c>
      <c r="C249" s="188"/>
      <c r="D249" s="174">
        <f t="shared" si="13"/>
        <v>0</v>
      </c>
      <c r="E249" s="188"/>
      <c r="F249" s="227"/>
      <c r="G249" s="201"/>
      <c r="H249" s="4"/>
      <c r="I249" s="4"/>
      <c r="J249" s="4"/>
      <c r="K249" s="168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5">
        <f>'Données projet'!A228</f>
        <v>0</v>
      </c>
      <c r="B250" s="176">
        <f>'Données projet'!D228</f>
        <v>0</v>
      </c>
      <c r="C250" s="188"/>
      <c r="D250" s="174">
        <f t="shared" si="13"/>
        <v>0</v>
      </c>
      <c r="E250" s="188"/>
      <c r="F250" s="227"/>
      <c r="G250" s="201"/>
      <c r="H250" s="4"/>
      <c r="I250" s="4"/>
      <c r="J250" s="4"/>
      <c r="K250" s="168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5">
        <f>'Données projet'!A229</f>
        <v>0</v>
      </c>
      <c r="B251" s="176">
        <f>'Données projet'!D229</f>
        <v>0</v>
      </c>
      <c r="C251" s="188"/>
      <c r="D251" s="174">
        <f t="shared" si="13"/>
        <v>0</v>
      </c>
      <c r="E251" s="188"/>
      <c r="F251" s="227"/>
      <c r="G251" s="201"/>
      <c r="H251" s="4"/>
      <c r="I251" s="4"/>
      <c r="J251" s="4"/>
      <c r="K251" s="168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5">
        <f>'Données projet'!A230</f>
        <v>0</v>
      </c>
      <c r="B252" s="176">
        <f>'Données projet'!D230</f>
        <v>0</v>
      </c>
      <c r="C252" s="188"/>
      <c r="D252" s="174">
        <f t="shared" si="13"/>
        <v>0</v>
      </c>
      <c r="E252" s="188"/>
      <c r="F252" s="227"/>
      <c r="G252" s="201"/>
      <c r="H252" s="4"/>
      <c r="I252" s="4"/>
      <c r="J252" s="4"/>
      <c r="K252" s="168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5">
        <f>'Données projet'!A231</f>
        <v>0</v>
      </c>
      <c r="B253" s="176">
        <f>'Données projet'!D231</f>
        <v>0</v>
      </c>
      <c r="C253" s="188"/>
      <c r="D253" s="174">
        <f t="shared" si="13"/>
        <v>0</v>
      </c>
      <c r="E253" s="188"/>
      <c r="F253" s="227"/>
      <c r="G253" s="201"/>
      <c r="H253" s="4"/>
      <c r="I253" s="4"/>
      <c r="J253" s="4"/>
      <c r="K253" s="168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5">
        <f>'Données projet'!A232</f>
        <v>0</v>
      </c>
      <c r="B254" s="176">
        <f>'Données projet'!D232</f>
        <v>0</v>
      </c>
      <c r="C254" s="188"/>
      <c r="D254" s="174">
        <f t="shared" si="13"/>
        <v>0</v>
      </c>
      <c r="E254" s="188"/>
      <c r="F254" s="227"/>
      <c r="G254" s="201"/>
      <c r="H254" s="4"/>
      <c r="I254" s="4"/>
      <c r="J254" s="4"/>
      <c r="K254" s="168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5">
        <f>'Données projet'!A233</f>
        <v>0</v>
      </c>
      <c r="B255" s="176">
        <f>'Données projet'!D233</f>
        <v>0</v>
      </c>
      <c r="C255" s="188"/>
      <c r="D255" s="174">
        <f t="shared" si="13"/>
        <v>0</v>
      </c>
      <c r="E255" s="188"/>
      <c r="F255" s="227"/>
      <c r="G255" s="201"/>
      <c r="H255" s="4"/>
      <c r="I255" s="4"/>
      <c r="J255" s="4"/>
      <c r="K255" s="168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5">
        <f>'Données projet'!A234</f>
        <v>0</v>
      </c>
      <c r="B256" s="176">
        <f>'Données projet'!D234</f>
        <v>0</v>
      </c>
      <c r="C256" s="188"/>
      <c r="D256" s="174">
        <f t="shared" si="13"/>
        <v>0</v>
      </c>
      <c r="E256" s="188"/>
      <c r="F256" s="227"/>
      <c r="G256" s="201"/>
      <c r="H256" s="4"/>
      <c r="I256" s="4"/>
      <c r="J256" s="4"/>
      <c r="K256" s="168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5">
        <f>'Données projet'!A235</f>
        <v>0</v>
      </c>
      <c r="B257" s="176">
        <f>'Données projet'!D235</f>
        <v>0</v>
      </c>
      <c r="C257" s="188"/>
      <c r="D257" s="174">
        <f t="shared" si="13"/>
        <v>0</v>
      </c>
      <c r="E257" s="188"/>
      <c r="F257" s="227"/>
      <c r="G257" s="201"/>
      <c r="H257" s="4"/>
      <c r="I257" s="4"/>
      <c r="J257" s="4"/>
      <c r="K257" s="168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5">
        <f>'Données projet'!A236</f>
        <v>0</v>
      </c>
      <c r="B258" s="176">
        <f>'Données projet'!D236</f>
        <v>0</v>
      </c>
      <c r="C258" s="188"/>
      <c r="D258" s="174">
        <f t="shared" si="13"/>
        <v>0</v>
      </c>
      <c r="E258" s="188"/>
      <c r="F258" s="227"/>
      <c r="G258" s="201"/>
      <c r="H258" s="4"/>
      <c r="I258" s="4"/>
      <c r="J258" s="4"/>
      <c r="K258" s="168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5">
        <f>'Données projet'!A237</f>
        <v>0</v>
      </c>
      <c r="B259" s="176">
        <f>'Données projet'!D237</f>
        <v>0</v>
      </c>
      <c r="C259" s="188"/>
      <c r="D259" s="174">
        <f t="shared" si="13"/>
        <v>0</v>
      </c>
      <c r="E259" s="188"/>
      <c r="F259" s="227"/>
      <c r="G259" s="201"/>
      <c r="H259" s="4"/>
      <c r="I259" s="4"/>
      <c r="J259" s="4"/>
      <c r="K259" s="168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5"/>
      <c r="G260" s="201"/>
      <c r="H260" s="4"/>
      <c r="I260" s="4"/>
      <c r="J260" s="4"/>
      <c r="K260" s="168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5"/>
      <c r="G261" s="201"/>
      <c r="H261" s="4"/>
      <c r="I261" s="4"/>
      <c r="J261" s="4"/>
      <c r="K261" s="168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69" t="str">
        <f>IF('Données projet'!$B$17="","",'Données projet'!$B$17)</f>
        <v/>
      </c>
      <c r="C262" s="4"/>
      <c r="D262" s="4"/>
      <c r="E262" s="4"/>
      <c r="F262" s="225"/>
      <c r="G262" s="201"/>
      <c r="H262" s="4"/>
      <c r="I262" s="4"/>
      <c r="J262" s="4"/>
      <c r="K262" s="168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5"/>
      <c r="G263" s="201"/>
      <c r="H263" s="4"/>
      <c r="I263" s="4"/>
      <c r="J263" s="4"/>
      <c r="K263" s="168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6"/>
      <c r="G264" s="201"/>
      <c r="H264" s="4"/>
      <c r="I264" s="4"/>
      <c r="J264" s="4"/>
      <c r="K264" s="168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4" t="s">
        <v>132</v>
      </c>
      <c r="C265" s="193" t="s">
        <v>132</v>
      </c>
      <c r="D265" s="192" t="s">
        <v>132</v>
      </c>
      <c r="E265" s="188">
        <f>982.76+1351.29</f>
        <v>2334.0500000000002</v>
      </c>
      <c r="F265" s="226"/>
      <c r="G265" s="201"/>
      <c r="H265" s="4"/>
      <c r="I265" s="4"/>
      <c r="J265" s="4"/>
      <c r="K265" s="168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4" t="s">
        <v>132</v>
      </c>
      <c r="C266" s="193" t="s">
        <v>132</v>
      </c>
      <c r="D266" s="192" t="s">
        <v>132</v>
      </c>
      <c r="E266" s="188"/>
      <c r="F266" s="226"/>
      <c r="G266" s="23"/>
      <c r="H266" s="4"/>
      <c r="I266" s="4"/>
      <c r="J266" s="4"/>
      <c r="K266" s="168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4" t="s">
        <v>132</v>
      </c>
      <c r="C267" s="193" t="s">
        <v>132</v>
      </c>
      <c r="D267" s="192" t="s">
        <v>132</v>
      </c>
      <c r="E267" s="188"/>
      <c r="F267" s="226"/>
      <c r="G267" s="23"/>
      <c r="H267" s="4"/>
      <c r="I267" s="4"/>
      <c r="J267" s="4"/>
      <c r="K267" s="168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4" t="s">
        <v>132</v>
      </c>
      <c r="C268" s="193" t="s">
        <v>132</v>
      </c>
      <c r="D268" s="192" t="s">
        <v>132</v>
      </c>
      <c r="E268" s="188"/>
      <c r="F268" s="226"/>
      <c r="G268" s="23"/>
      <c r="H268" s="4"/>
      <c r="I268" s="4"/>
      <c r="J268" s="4"/>
      <c r="K268" s="168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4" t="s">
        <v>132</v>
      </c>
      <c r="C269" s="193" t="s">
        <v>132</v>
      </c>
      <c r="D269" s="192" t="s">
        <v>132</v>
      </c>
      <c r="E269" s="188"/>
      <c r="F269" s="226"/>
      <c r="G269" s="23"/>
      <c r="H269" s="4"/>
      <c r="I269" s="4"/>
      <c r="J269" s="4"/>
      <c r="K269" s="168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4" t="s">
        <v>132</v>
      </c>
      <c r="C270" s="193" t="s">
        <v>132</v>
      </c>
      <c r="D270" s="192" t="s">
        <v>132</v>
      </c>
      <c r="E270" s="188"/>
      <c r="F270" s="226"/>
      <c r="G270" s="200"/>
      <c r="H270" s="4"/>
      <c r="I270" s="4"/>
      <c r="J270" s="4"/>
      <c r="K270" s="168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5">
        <f>'Données projet'!A244</f>
        <v>0</v>
      </c>
      <c r="B271" s="176">
        <f>'Données projet'!D244</f>
        <v>0</v>
      </c>
      <c r="C271" s="188">
        <v>22.5</v>
      </c>
      <c r="D271" s="174">
        <f>B271*C271</f>
        <v>0</v>
      </c>
      <c r="E271" s="188"/>
      <c r="F271" s="227"/>
      <c r="G271" s="200"/>
      <c r="H271" s="4"/>
      <c r="I271" s="4"/>
      <c r="J271" s="4"/>
      <c r="K271" s="168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5">
        <f>'Données projet'!A245</f>
        <v>0</v>
      </c>
      <c r="B272" s="176">
        <f>'Données projet'!D245</f>
        <v>0</v>
      </c>
      <c r="C272" s="188">
        <v>22.5</v>
      </c>
      <c r="D272" s="174">
        <f t="shared" ref="D272:D290" si="14">B272*C272</f>
        <v>0</v>
      </c>
      <c r="E272" s="188"/>
      <c r="F272" s="227"/>
      <c r="G272" s="200"/>
      <c r="H272" s="4"/>
      <c r="I272" s="4"/>
      <c r="J272" s="4"/>
      <c r="K272" s="168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5">
        <f>'Données projet'!A246</f>
        <v>0</v>
      </c>
      <c r="B273" s="176">
        <f>'Données projet'!D246</f>
        <v>0</v>
      </c>
      <c r="C273" s="188"/>
      <c r="D273" s="174">
        <f t="shared" si="14"/>
        <v>0</v>
      </c>
      <c r="E273" s="188"/>
      <c r="F273" s="227"/>
      <c r="G273" s="200"/>
      <c r="H273" s="4"/>
      <c r="I273" s="4"/>
      <c r="J273" s="4"/>
      <c r="K273" s="168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5">
        <f>'Données projet'!A247</f>
        <v>0</v>
      </c>
      <c r="B274" s="176">
        <f>'Données projet'!D247</f>
        <v>0</v>
      </c>
      <c r="C274" s="188"/>
      <c r="D274" s="174">
        <f t="shared" si="14"/>
        <v>0</v>
      </c>
      <c r="E274" s="188"/>
      <c r="F274" s="227"/>
      <c r="G274" s="200"/>
      <c r="H274" s="4"/>
      <c r="I274" s="4"/>
      <c r="J274" s="4"/>
      <c r="K274" s="168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5">
        <f>'Données projet'!A248</f>
        <v>0</v>
      </c>
      <c r="B275" s="176">
        <f>'Données projet'!D248</f>
        <v>0</v>
      </c>
      <c r="C275" s="188"/>
      <c r="D275" s="174">
        <f t="shared" si="14"/>
        <v>0</v>
      </c>
      <c r="E275" s="188"/>
      <c r="F275" s="227"/>
      <c r="G275" s="200"/>
      <c r="H275" s="4"/>
      <c r="I275" s="4"/>
      <c r="J275" s="4"/>
      <c r="K275" s="168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5">
        <f>'Données projet'!A249</f>
        <v>0</v>
      </c>
      <c r="B276" s="176">
        <f>'Données projet'!D249</f>
        <v>0</v>
      </c>
      <c r="C276" s="188"/>
      <c r="D276" s="174">
        <f t="shared" si="14"/>
        <v>0</v>
      </c>
      <c r="E276" s="188"/>
      <c r="F276" s="227"/>
      <c r="G276" s="200"/>
      <c r="H276" s="4"/>
      <c r="I276" s="4"/>
      <c r="J276" s="4"/>
      <c r="K276" s="168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5">
        <f>'Données projet'!A250</f>
        <v>0</v>
      </c>
      <c r="B277" s="176">
        <f>'Données projet'!D250</f>
        <v>0</v>
      </c>
      <c r="C277" s="188"/>
      <c r="D277" s="174">
        <f t="shared" si="14"/>
        <v>0</v>
      </c>
      <c r="E277" s="188"/>
      <c r="F277" s="227"/>
      <c r="G277" s="201"/>
      <c r="H277" s="4"/>
      <c r="I277" s="4"/>
      <c r="J277" s="4"/>
      <c r="K277" s="168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5">
        <f>'Données projet'!A251</f>
        <v>0</v>
      </c>
      <c r="B278" s="176">
        <f>'Données projet'!D251</f>
        <v>0</v>
      </c>
      <c r="C278" s="188"/>
      <c r="D278" s="174">
        <f t="shared" si="14"/>
        <v>0</v>
      </c>
      <c r="E278" s="188"/>
      <c r="F278" s="227"/>
      <c r="G278" s="201"/>
      <c r="H278" s="4"/>
      <c r="I278" s="4"/>
      <c r="J278" s="4"/>
      <c r="K278" s="168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5">
        <f>'Données projet'!A252</f>
        <v>0</v>
      </c>
      <c r="B279" s="176">
        <f>'Données projet'!D252</f>
        <v>0</v>
      </c>
      <c r="C279" s="188"/>
      <c r="D279" s="174">
        <f t="shared" si="14"/>
        <v>0</v>
      </c>
      <c r="E279" s="188"/>
      <c r="F279" s="227"/>
      <c r="G279" s="201"/>
      <c r="H279" s="4"/>
      <c r="I279" s="4"/>
      <c r="J279" s="4"/>
      <c r="K279" s="168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5">
        <f>'Données projet'!A253</f>
        <v>0</v>
      </c>
      <c r="B280" s="176">
        <f>'Données projet'!D253</f>
        <v>0</v>
      </c>
      <c r="C280" s="188"/>
      <c r="D280" s="174">
        <f t="shared" si="14"/>
        <v>0</v>
      </c>
      <c r="E280" s="188"/>
      <c r="F280" s="227"/>
      <c r="G280" s="201"/>
      <c r="H280" s="4"/>
      <c r="I280" s="4"/>
      <c r="J280" s="4"/>
      <c r="K280" s="168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5">
        <f>'Données projet'!A254</f>
        <v>0</v>
      </c>
      <c r="B281" s="176">
        <f>'Données projet'!D254</f>
        <v>0</v>
      </c>
      <c r="C281" s="188"/>
      <c r="D281" s="174">
        <f t="shared" si="14"/>
        <v>0</v>
      </c>
      <c r="E281" s="188"/>
      <c r="F281" s="227"/>
      <c r="G281" s="201"/>
      <c r="H281" s="4"/>
      <c r="I281" s="4"/>
      <c r="J281" s="4"/>
      <c r="K281" s="168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5">
        <f>'Données projet'!A255</f>
        <v>0</v>
      </c>
      <c r="B282" s="176">
        <f>'Données projet'!D255</f>
        <v>0</v>
      </c>
      <c r="C282" s="188"/>
      <c r="D282" s="174">
        <f t="shared" si="14"/>
        <v>0</v>
      </c>
      <c r="E282" s="188"/>
      <c r="F282" s="227"/>
      <c r="G282" s="201"/>
      <c r="H282" s="4"/>
      <c r="I282" s="4"/>
      <c r="J282" s="4"/>
      <c r="K282" s="168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5">
        <f>'Données projet'!A256</f>
        <v>0</v>
      </c>
      <c r="B283" s="176">
        <f>'Données projet'!D256</f>
        <v>0</v>
      </c>
      <c r="C283" s="188"/>
      <c r="D283" s="174">
        <f t="shared" si="14"/>
        <v>0</v>
      </c>
      <c r="E283" s="188"/>
      <c r="F283" s="227"/>
      <c r="G283" s="201"/>
      <c r="H283" s="4"/>
      <c r="I283" s="4"/>
      <c r="J283" s="4"/>
      <c r="K283" s="168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5">
        <f>'Données projet'!A257</f>
        <v>0</v>
      </c>
      <c r="B284" s="176">
        <f>'Données projet'!D257</f>
        <v>0</v>
      </c>
      <c r="C284" s="188"/>
      <c r="D284" s="174">
        <f t="shared" si="14"/>
        <v>0</v>
      </c>
      <c r="E284" s="188"/>
      <c r="F284" s="227"/>
      <c r="G284" s="201"/>
      <c r="H284" s="4"/>
      <c r="I284" s="4"/>
      <c r="J284" s="4"/>
      <c r="K284" s="168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5">
        <f>'Données projet'!A258</f>
        <v>0</v>
      </c>
      <c r="B285" s="176">
        <f>'Données projet'!D258</f>
        <v>0</v>
      </c>
      <c r="C285" s="188"/>
      <c r="D285" s="174">
        <f t="shared" si="14"/>
        <v>0</v>
      </c>
      <c r="E285" s="188"/>
      <c r="F285" s="227"/>
      <c r="G285" s="201"/>
      <c r="H285" s="4"/>
      <c r="I285" s="4"/>
      <c r="J285" s="4"/>
      <c r="K285" s="168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5">
        <f>'Données projet'!A259</f>
        <v>0</v>
      </c>
      <c r="B286" s="176">
        <f>'Données projet'!D259</f>
        <v>0</v>
      </c>
      <c r="C286" s="188"/>
      <c r="D286" s="174">
        <f t="shared" si="14"/>
        <v>0</v>
      </c>
      <c r="E286" s="188"/>
      <c r="F286" s="227"/>
      <c r="G286" s="201"/>
      <c r="H286" s="4"/>
      <c r="I286" s="4"/>
      <c r="J286" s="4"/>
      <c r="K286" s="168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5">
        <f>'Données projet'!A260</f>
        <v>0</v>
      </c>
      <c r="B287" s="176">
        <f>'Données projet'!D260</f>
        <v>0</v>
      </c>
      <c r="C287" s="188"/>
      <c r="D287" s="174">
        <f t="shared" si="14"/>
        <v>0</v>
      </c>
      <c r="E287" s="188"/>
      <c r="F287" s="227"/>
      <c r="G287" s="201"/>
      <c r="H287" s="4"/>
      <c r="I287" s="4"/>
      <c r="J287" s="4"/>
      <c r="K287" s="168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5">
        <f>'Données projet'!A261</f>
        <v>0</v>
      </c>
      <c r="B288" s="176">
        <f>'Données projet'!D261</f>
        <v>0</v>
      </c>
      <c r="C288" s="188"/>
      <c r="D288" s="174">
        <f t="shared" si="14"/>
        <v>0</v>
      </c>
      <c r="E288" s="188"/>
      <c r="F288" s="227"/>
      <c r="G288" s="201"/>
      <c r="H288" s="4"/>
      <c r="I288" s="4"/>
      <c r="J288" s="4"/>
      <c r="K288" s="168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5">
        <f>'Données projet'!A262</f>
        <v>0</v>
      </c>
      <c r="B289" s="176">
        <f>'Données projet'!D262</f>
        <v>0</v>
      </c>
      <c r="C289" s="188"/>
      <c r="D289" s="174">
        <f t="shared" si="14"/>
        <v>0</v>
      </c>
      <c r="E289" s="188"/>
      <c r="F289" s="227"/>
      <c r="G289" s="201"/>
      <c r="H289" s="4"/>
      <c r="I289" s="4"/>
      <c r="J289" s="4"/>
      <c r="K289" s="168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5">
        <f>'Données projet'!A263</f>
        <v>0</v>
      </c>
      <c r="B290" s="176">
        <f>'Données projet'!D263</f>
        <v>0</v>
      </c>
      <c r="C290" s="188"/>
      <c r="D290" s="174">
        <f t="shared" si="14"/>
        <v>0</v>
      </c>
      <c r="E290" s="188"/>
      <c r="F290" s="227"/>
      <c r="G290" s="201"/>
      <c r="H290" s="4"/>
      <c r="I290" s="4"/>
      <c r="J290" s="4"/>
      <c r="K290" s="168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5"/>
      <c r="G291" s="201"/>
      <c r="H291" s="4"/>
      <c r="I291" s="4"/>
      <c r="J291" s="4"/>
      <c r="K291" s="168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5"/>
      <c r="G292" s="201"/>
      <c r="H292" s="4"/>
      <c r="I292" s="4"/>
      <c r="J292" s="4"/>
      <c r="K292" s="168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69" t="str">
        <f>IF('Données projet'!$B$18="","",'Données projet'!$B$18)</f>
        <v/>
      </c>
      <c r="C293" s="4"/>
      <c r="D293" s="4"/>
      <c r="E293" s="4"/>
      <c r="F293" s="225"/>
      <c r="G293" s="201"/>
      <c r="H293" s="4"/>
      <c r="I293" s="4"/>
      <c r="J293" s="4"/>
      <c r="K293" s="168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5"/>
      <c r="G294" s="201"/>
      <c r="H294" s="4"/>
      <c r="I294" s="4"/>
      <c r="J294" s="4"/>
      <c r="K294" s="168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6"/>
      <c r="G295" s="201"/>
      <c r="H295" s="4"/>
      <c r="I295" s="4"/>
      <c r="J295" s="4"/>
      <c r="K295" s="168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4" t="s">
        <v>132</v>
      </c>
      <c r="C296" s="193" t="s">
        <v>132</v>
      </c>
      <c r="D296" s="192" t="s">
        <v>132</v>
      </c>
      <c r="E296" s="188">
        <f>982.76+1891.62</f>
        <v>2874.38</v>
      </c>
      <c r="F296" s="226"/>
      <c r="G296" s="201"/>
      <c r="H296" s="4"/>
      <c r="I296" s="4"/>
      <c r="J296" s="4"/>
      <c r="K296" s="168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4" t="s">
        <v>132</v>
      </c>
      <c r="C297" s="193" t="s">
        <v>132</v>
      </c>
      <c r="D297" s="192" t="s">
        <v>132</v>
      </c>
      <c r="E297" s="188"/>
      <c r="F297" s="226"/>
      <c r="G297" s="23"/>
      <c r="H297" s="4"/>
      <c r="I297" s="4"/>
      <c r="J297" s="4"/>
      <c r="K297" s="168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4" t="s">
        <v>132</v>
      </c>
      <c r="C298" s="193" t="s">
        <v>132</v>
      </c>
      <c r="D298" s="192" t="s">
        <v>132</v>
      </c>
      <c r="E298" s="188"/>
      <c r="F298" s="226"/>
      <c r="G298" s="23"/>
      <c r="H298" s="4"/>
      <c r="I298" s="4"/>
      <c r="J298" s="4"/>
      <c r="K298" s="168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4" t="s">
        <v>132</v>
      </c>
      <c r="C299" s="193" t="s">
        <v>132</v>
      </c>
      <c r="D299" s="192" t="s">
        <v>132</v>
      </c>
      <c r="E299" s="188"/>
      <c r="F299" s="226"/>
      <c r="G299" s="23"/>
      <c r="H299" s="4"/>
      <c r="I299" s="4"/>
      <c r="J299" s="4"/>
      <c r="K299" s="168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4" t="s">
        <v>132</v>
      </c>
      <c r="C300" s="193" t="s">
        <v>132</v>
      </c>
      <c r="D300" s="192" t="s">
        <v>132</v>
      </c>
      <c r="E300" s="188"/>
      <c r="F300" s="226"/>
      <c r="G300" s="23"/>
      <c r="H300" s="4"/>
      <c r="I300" s="4"/>
      <c r="J300" s="4"/>
      <c r="K300" s="168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4" t="s">
        <v>132</v>
      </c>
      <c r="C301" s="193" t="s">
        <v>132</v>
      </c>
      <c r="D301" s="192" t="s">
        <v>132</v>
      </c>
      <c r="E301" s="188"/>
      <c r="F301" s="226"/>
      <c r="G301" s="200"/>
      <c r="H301" s="4"/>
      <c r="I301" s="4"/>
      <c r="J301" s="4"/>
      <c r="K301" s="168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5">
        <f>'Données projet'!A270</f>
        <v>0</v>
      </c>
      <c r="B302" s="176">
        <f>'Données projet'!D270</f>
        <v>0</v>
      </c>
      <c r="C302" s="186">
        <v>22.5</v>
      </c>
      <c r="D302" s="177">
        <f>B302*C302</f>
        <v>0</v>
      </c>
      <c r="E302" s="188"/>
      <c r="F302" s="228"/>
      <c r="G302" s="200"/>
      <c r="H302" s="4"/>
      <c r="I302" s="4"/>
      <c r="J302" s="4"/>
      <c r="K302" s="168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5">
        <f>'Données projet'!A271</f>
        <v>0</v>
      </c>
      <c r="B303" s="176">
        <f>'Données projet'!D271</f>
        <v>0</v>
      </c>
      <c r="C303" s="186">
        <v>22.5</v>
      </c>
      <c r="D303" s="177">
        <f t="shared" ref="D303:D321" si="15">B303*C303</f>
        <v>0</v>
      </c>
      <c r="E303" s="188"/>
      <c r="F303" s="228"/>
      <c r="G303" s="200"/>
      <c r="H303" s="4"/>
      <c r="I303" s="4"/>
      <c r="J303" s="4"/>
      <c r="K303" s="168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5">
        <f>'Données projet'!A272</f>
        <v>0</v>
      </c>
      <c r="B304" s="176">
        <f>'Données projet'!D272</f>
        <v>0</v>
      </c>
      <c r="C304" s="186">
        <v>22.5</v>
      </c>
      <c r="D304" s="177">
        <f t="shared" si="15"/>
        <v>0</v>
      </c>
      <c r="E304" s="188"/>
      <c r="F304" s="228"/>
      <c r="G304" s="200"/>
      <c r="H304" s="4"/>
      <c r="I304" s="4"/>
      <c r="J304" s="4"/>
      <c r="K304" s="168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5">
        <f>'Données projet'!A273</f>
        <v>0</v>
      </c>
      <c r="B305" s="176">
        <f>'Données projet'!D273</f>
        <v>0</v>
      </c>
      <c r="C305" s="186">
        <v>22.5</v>
      </c>
      <c r="D305" s="177">
        <f t="shared" si="15"/>
        <v>0</v>
      </c>
      <c r="E305" s="188"/>
      <c r="F305" s="228"/>
      <c r="G305" s="200"/>
      <c r="H305" s="4"/>
      <c r="I305" s="4"/>
      <c r="J305" s="4"/>
      <c r="K305" s="168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5">
        <f>'Données projet'!A274</f>
        <v>0</v>
      </c>
      <c r="B306" s="176">
        <f>'Données projet'!D274</f>
        <v>0</v>
      </c>
      <c r="C306" s="186">
        <v>22.5</v>
      </c>
      <c r="D306" s="177">
        <f t="shared" si="15"/>
        <v>0</v>
      </c>
      <c r="E306" s="188"/>
      <c r="F306" s="228"/>
      <c r="G306" s="200"/>
      <c r="H306" s="4"/>
      <c r="I306" s="4"/>
      <c r="J306" s="4"/>
      <c r="K306" s="168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5">
        <f>'Données projet'!A275</f>
        <v>0</v>
      </c>
      <c r="B307" s="176">
        <f>'Données projet'!D275</f>
        <v>0</v>
      </c>
      <c r="C307" s="186"/>
      <c r="D307" s="177">
        <f t="shared" si="15"/>
        <v>0</v>
      </c>
      <c r="E307" s="188"/>
      <c r="F307" s="228"/>
      <c r="G307" s="200"/>
      <c r="H307" s="4"/>
      <c r="I307" s="4"/>
      <c r="J307" s="4"/>
      <c r="K307" s="168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5">
        <f>'Données projet'!A276</f>
        <v>0</v>
      </c>
      <c r="B308" s="176">
        <f>'Données projet'!D276</f>
        <v>0</v>
      </c>
      <c r="C308" s="186"/>
      <c r="D308" s="177">
        <f t="shared" si="15"/>
        <v>0</v>
      </c>
      <c r="E308" s="188"/>
      <c r="F308" s="228"/>
      <c r="G308" s="198"/>
      <c r="H308" s="4"/>
      <c r="I308" s="4"/>
      <c r="J308" s="4"/>
      <c r="K308" s="168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5">
        <f>'Données projet'!A277</f>
        <v>0</v>
      </c>
      <c r="B309" s="176">
        <f>'Données projet'!D277</f>
        <v>0</v>
      </c>
      <c r="C309" s="186"/>
      <c r="D309" s="177">
        <f t="shared" si="15"/>
        <v>0</v>
      </c>
      <c r="E309" s="188"/>
      <c r="F309" s="228"/>
      <c r="G309" s="198"/>
      <c r="H309" s="4"/>
      <c r="I309" s="4"/>
      <c r="J309" s="4"/>
      <c r="K309" s="168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5">
        <f>'Données projet'!A278</f>
        <v>0</v>
      </c>
      <c r="B310" s="176">
        <f>'Données projet'!D278</f>
        <v>0</v>
      </c>
      <c r="C310" s="186"/>
      <c r="D310" s="177">
        <f t="shared" si="15"/>
        <v>0</v>
      </c>
      <c r="E310" s="188"/>
      <c r="F310" s="228"/>
      <c r="G310" s="198"/>
      <c r="H310" s="4"/>
      <c r="I310" s="4"/>
      <c r="J310" s="4"/>
      <c r="K310" s="168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5">
        <f>'Données projet'!A279</f>
        <v>0</v>
      </c>
      <c r="B311" s="176">
        <f>'Données projet'!D279</f>
        <v>0</v>
      </c>
      <c r="C311" s="186"/>
      <c r="D311" s="177">
        <f t="shared" si="15"/>
        <v>0</v>
      </c>
      <c r="E311" s="188"/>
      <c r="F311" s="228"/>
      <c r="G311" s="198"/>
      <c r="H311" s="4"/>
      <c r="I311" s="4"/>
      <c r="J311" s="4"/>
      <c r="K311" s="168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5">
        <f>'Données projet'!A280</f>
        <v>0</v>
      </c>
      <c r="B312" s="176">
        <f>'Données projet'!D280</f>
        <v>0</v>
      </c>
      <c r="C312" s="186"/>
      <c r="D312" s="177">
        <f t="shared" si="15"/>
        <v>0</v>
      </c>
      <c r="E312" s="188"/>
      <c r="F312" s="228"/>
      <c r="G312" s="198"/>
      <c r="H312" s="4"/>
      <c r="I312" s="4"/>
      <c r="J312" s="4"/>
      <c r="K312" s="168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5">
        <f>'Données projet'!A281</f>
        <v>0</v>
      </c>
      <c r="B313" s="176">
        <f>'Données projet'!D281</f>
        <v>0</v>
      </c>
      <c r="C313" s="186"/>
      <c r="D313" s="177">
        <f t="shared" si="15"/>
        <v>0</v>
      </c>
      <c r="E313" s="188"/>
      <c r="F313" s="228"/>
      <c r="G313" s="198"/>
      <c r="H313" s="4"/>
      <c r="I313" s="4"/>
      <c r="J313" s="4"/>
      <c r="K313" s="168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5">
        <f>'Données projet'!A282</f>
        <v>0</v>
      </c>
      <c r="B314" s="176">
        <f>'Données projet'!D282</f>
        <v>0</v>
      </c>
      <c r="C314" s="186"/>
      <c r="D314" s="177">
        <f t="shared" si="15"/>
        <v>0</v>
      </c>
      <c r="E314" s="188"/>
      <c r="F314" s="228"/>
      <c r="G314" s="198"/>
      <c r="H314" s="4"/>
      <c r="I314" s="4"/>
      <c r="J314" s="4"/>
      <c r="K314" s="168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5">
        <f>'Données projet'!A283</f>
        <v>0</v>
      </c>
      <c r="B315" s="176">
        <f>'Données projet'!D283</f>
        <v>0</v>
      </c>
      <c r="C315" s="186"/>
      <c r="D315" s="177">
        <f t="shared" si="15"/>
        <v>0</v>
      </c>
      <c r="E315" s="188"/>
      <c r="F315" s="228"/>
      <c r="G315" s="198"/>
      <c r="H315" s="4"/>
      <c r="I315" s="4"/>
      <c r="J315" s="4"/>
      <c r="K315" s="168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5">
        <f>'Données projet'!A284</f>
        <v>0</v>
      </c>
      <c r="B316" s="176">
        <f>'Données projet'!D284</f>
        <v>0</v>
      </c>
      <c r="C316" s="186"/>
      <c r="D316" s="177">
        <f t="shared" si="15"/>
        <v>0</v>
      </c>
      <c r="E316" s="188"/>
      <c r="F316" s="228"/>
      <c r="G316" s="198"/>
      <c r="H316" s="4"/>
      <c r="I316" s="4"/>
      <c r="J316" s="4"/>
      <c r="K316" s="168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5">
        <f>'Données projet'!A285</f>
        <v>0</v>
      </c>
      <c r="B317" s="176">
        <f>'Données projet'!D285</f>
        <v>0</v>
      </c>
      <c r="C317" s="186"/>
      <c r="D317" s="177">
        <f t="shared" si="15"/>
        <v>0</v>
      </c>
      <c r="E317" s="188"/>
      <c r="F317" s="228"/>
      <c r="G317" s="198"/>
      <c r="H317" s="4"/>
      <c r="I317" s="4"/>
      <c r="J317" s="4"/>
      <c r="K317" s="168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5">
        <f>'Données projet'!A286</f>
        <v>0</v>
      </c>
      <c r="B318" s="176">
        <f>'Données projet'!D286</f>
        <v>0</v>
      </c>
      <c r="C318" s="186"/>
      <c r="D318" s="177">
        <f t="shared" si="15"/>
        <v>0</v>
      </c>
      <c r="E318" s="188"/>
      <c r="F318" s="228"/>
      <c r="G318" s="198"/>
      <c r="H318" s="4"/>
      <c r="I318" s="4"/>
      <c r="J318" s="4"/>
      <c r="K318" s="168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5">
        <f>'Données projet'!A287</f>
        <v>0</v>
      </c>
      <c r="B319" s="176">
        <f>'Données projet'!D287</f>
        <v>0</v>
      </c>
      <c r="C319" s="186"/>
      <c r="D319" s="177">
        <f t="shared" si="15"/>
        <v>0</v>
      </c>
      <c r="E319" s="188"/>
      <c r="F319" s="228"/>
      <c r="G319" s="198"/>
      <c r="H319" s="4"/>
      <c r="I319" s="4"/>
      <c r="J319" s="4"/>
      <c r="K319" s="168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5">
        <f>'Données projet'!A288</f>
        <v>0</v>
      </c>
      <c r="B320" s="176">
        <f>'Données projet'!D288</f>
        <v>0</v>
      </c>
      <c r="C320" s="186"/>
      <c r="D320" s="177">
        <f t="shared" si="15"/>
        <v>0</v>
      </c>
      <c r="E320" s="188"/>
      <c r="F320" s="228"/>
      <c r="G320" s="198"/>
      <c r="H320" s="4"/>
      <c r="I320" s="4"/>
      <c r="J320" s="4"/>
      <c r="K320" s="168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5">
        <f>'Données projet'!A289</f>
        <v>0</v>
      </c>
      <c r="B321" s="176">
        <f>'Données projet'!D289</f>
        <v>0</v>
      </c>
      <c r="C321" s="191"/>
      <c r="D321" s="177">
        <f t="shared" si="15"/>
        <v>0</v>
      </c>
      <c r="E321" s="188"/>
      <c r="F321" s="228"/>
      <c r="G321" s="198"/>
      <c r="H321" s="4"/>
      <c r="I321" s="4"/>
      <c r="J321" s="4"/>
      <c r="K321" s="168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198"/>
      <c r="H322" s="4"/>
      <c r="I322" s="4"/>
      <c r="J322" s="4"/>
      <c r="K322" s="168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198"/>
      <c r="H323" s="4"/>
      <c r="I323" s="4"/>
      <c r="J323" s="4"/>
      <c r="K323" s="168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198"/>
      <c r="H324" s="4"/>
      <c r="I324" s="4"/>
      <c r="J324" s="4"/>
      <c r="K324" s="168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198"/>
      <c r="H325" s="4"/>
      <c r="I325" s="4"/>
      <c r="J325" s="4"/>
      <c r="K325" s="168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198"/>
      <c r="H326" s="4"/>
      <c r="I326" s="4"/>
      <c r="J326" s="4"/>
      <c r="K326" s="168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198"/>
      <c r="H327" s="4"/>
      <c r="I327" s="4"/>
      <c r="J327" s="4"/>
      <c r="K327" s="168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2022-10-25T15:14:54Z</dcterms:modified>
</cp:coreProperties>
</file>